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4000" windowHeight="9735" firstSheet="1" activeTab="1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  <sheet name="Hoja1" sheetId="15" r:id="rId7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'!$A$1:$F$81</definedName>
    <definedName name="_xlnm.Print_Area" localSheetId="4">'Flujo de efectivo'!$A$1:$E$71</definedName>
    <definedName name="_xlnm.Print_Area" localSheetId="5">'NOTAS 7 AL 19'!$A$4:$I$203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52511"/>
</workbook>
</file>

<file path=xl/calcChain.xml><?xml version="1.0" encoding="utf-8"?>
<calcChain xmlns="http://schemas.openxmlformats.org/spreadsheetml/2006/main">
  <c r="F25" i="5" l="1"/>
  <c r="B33" i="11"/>
  <c r="B31" i="11"/>
  <c r="D182" i="14"/>
  <c r="D184" i="14" s="1"/>
  <c r="E141" i="14"/>
  <c r="D141" i="14"/>
  <c r="E119" i="14"/>
  <c r="D119" i="14"/>
  <c r="E103" i="14"/>
  <c r="D103" i="14"/>
  <c r="B62" i="4"/>
  <c r="B60" i="4"/>
  <c r="B58" i="4"/>
  <c r="D36" i="7"/>
  <c r="D24" i="7"/>
  <c r="C24" i="7"/>
  <c r="C36" i="7"/>
  <c r="D33" i="11"/>
  <c r="B20" i="11" l="1"/>
  <c r="B63" i="10"/>
  <c r="F17" i="5"/>
  <c r="E18" i="5"/>
  <c r="E25" i="5" s="1"/>
  <c r="F13" i="5"/>
  <c r="F24" i="5"/>
  <c r="F38" i="14"/>
  <c r="D42" i="14"/>
  <c r="G38" i="14"/>
  <c r="G43" i="14" s="1"/>
  <c r="E42" i="14"/>
  <c r="F42" i="14"/>
  <c r="H40" i="14"/>
  <c r="H39" i="14"/>
  <c r="H32" i="14"/>
  <c r="H38" i="14" s="1"/>
  <c r="D19" i="14"/>
  <c r="H42" i="14" l="1"/>
  <c r="H43" i="14" s="1"/>
  <c r="D43" i="14"/>
  <c r="F18" i="5"/>
  <c r="F43" i="14"/>
  <c r="C24" i="15"/>
  <c r="C22" i="15"/>
  <c r="D152" i="14" l="1"/>
  <c r="D135" i="14"/>
  <c r="D39" i="11" l="1"/>
  <c r="E37" i="11"/>
  <c r="E34" i="11" s="1"/>
  <c r="H13" i="15" l="1"/>
  <c r="G12" i="15"/>
  <c r="H6" i="15"/>
  <c r="E16" i="15"/>
  <c r="C16" i="15"/>
  <c r="B16" i="15"/>
  <c r="H15" i="15"/>
  <c r="F14" i="15"/>
  <c r="F16" i="15" s="1"/>
  <c r="D14" i="15"/>
  <c r="E12" i="15"/>
  <c r="C12" i="15"/>
  <c r="C17" i="15" s="1"/>
  <c r="B12" i="15"/>
  <c r="B17" i="15" s="1"/>
  <c r="H11" i="15"/>
  <c r="H10" i="15"/>
  <c r="H9" i="15"/>
  <c r="D16" i="15" l="1"/>
  <c r="E22" i="15" s="1"/>
  <c r="H16" i="15"/>
  <c r="H12" i="15"/>
  <c r="H14" i="15"/>
  <c r="E21" i="15" l="1"/>
  <c r="C18" i="10"/>
  <c r="E92" i="14" l="1"/>
  <c r="F14" i="7" l="1"/>
  <c r="D71" i="14" l="1"/>
  <c r="D86" i="14"/>
  <c r="D80" i="14"/>
  <c r="D77" i="14"/>
  <c r="D82" i="14"/>
  <c r="D81" i="14"/>
  <c r="D62" i="14"/>
  <c r="D91" i="14" l="1"/>
  <c r="D92" i="14" s="1"/>
  <c r="E181" i="14" l="1"/>
  <c r="E180" i="14" s="1"/>
  <c r="B19" i="4"/>
  <c r="B28" i="4" s="1"/>
  <c r="E164" i="14" l="1"/>
  <c r="D31" i="11" l="1"/>
  <c r="J34" i="7"/>
  <c r="E127" i="14" l="1"/>
  <c r="E135" i="14" s="1"/>
  <c r="D26" i="14"/>
  <c r="E26" i="14"/>
  <c r="E17" i="14" l="1"/>
  <c r="B26" i="10"/>
  <c r="E38" i="14" l="1"/>
  <c r="E43" i="14" s="1"/>
  <c r="E182" i="14"/>
  <c r="E184" i="14" s="1"/>
  <c r="E18" i="14"/>
  <c r="C63" i="10"/>
  <c r="C44" i="10"/>
  <c r="I31" i="14" l="1"/>
  <c r="H41" i="14"/>
  <c r="H37" i="14"/>
  <c r="H36" i="14"/>
  <c r="H35" i="14"/>
  <c r="D63" i="10" l="1"/>
  <c r="B39" i="10" l="1"/>
  <c r="E19" i="14"/>
  <c r="E10" i="14"/>
  <c r="B38" i="14"/>
  <c r="C38" i="14"/>
  <c r="B42" i="14"/>
  <c r="C42" i="14"/>
  <c r="E52" i="14"/>
  <c r="E112" i="14"/>
  <c r="E152" i="14"/>
  <c r="D164" i="14"/>
  <c r="B18" i="10" l="1"/>
  <c r="B43" i="14"/>
  <c r="C43" i="14"/>
  <c r="C31" i="11" l="1"/>
  <c r="C20" i="11"/>
  <c r="B54" i="10"/>
  <c r="C30" i="10"/>
  <c r="C33" i="11" l="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F19" i="7"/>
  <c r="E19" i="7"/>
  <c r="F18" i="7"/>
  <c r="E18" i="7"/>
  <c r="F17" i="7"/>
  <c r="E17" i="7"/>
  <c r="F16" i="7"/>
  <c r="E16" i="7"/>
  <c r="F15" i="7"/>
  <c r="E15" i="7"/>
  <c r="E14" i="7"/>
  <c r="F27" i="7" l="1"/>
  <c r="F26" i="7"/>
  <c r="E27" i="7"/>
  <c r="E26" i="7"/>
  <c r="E31" i="7"/>
  <c r="F24" i="7" l="1"/>
  <c r="E24" i="7"/>
  <c r="E36" i="7" l="1"/>
  <c r="F36" i="7"/>
  <c r="F23" i="5"/>
  <c r="F22" i="5"/>
  <c r="F21" i="5"/>
  <c r="F20" i="5"/>
  <c r="B18" i="5"/>
  <c r="B25" i="5" s="1"/>
  <c r="F16" i="5"/>
  <c r="F15" i="5"/>
  <c r="F14" i="5"/>
  <c r="D58" i="4" l="1"/>
  <c r="D44" i="4"/>
  <c r="D28" i="4"/>
  <c r="D60" i="4" s="1"/>
  <c r="D62" i="4" s="1"/>
  <c r="C58" i="4" l="1"/>
  <c r="C44" i="4"/>
  <c r="C28" i="4"/>
  <c r="C60" i="4" l="1"/>
  <c r="C62" i="4" s="1"/>
  <c r="B28" i="10"/>
  <c r="B30" i="10" s="1"/>
  <c r="B44" i="10" l="1"/>
  <c r="B56" i="10" s="1"/>
  <c r="B65" i="10" s="1"/>
  <c r="E60" i="10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LOS BALANCE NO CORRESPONDEN AL PRESUPUESTO REFORMADO.
</t>
        </r>
        <r>
          <rPr>
            <sz val="12"/>
            <color indexed="81"/>
            <rFont val="Tahoma"/>
            <family val="2"/>
          </rPr>
          <t>ESTE ES EL PRESUPUESTO REFORMADO.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Contabilidad</author>
    <author>Elizabeth Garcia Jimenez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por favor este cuadro ,le he buscado todas las formas y no puedo cuadrarlo y estos montos serian colocados en algunos estados para poder cuadrarlos.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<sst xmlns="http://schemas.openxmlformats.org/spreadsheetml/2006/main" count="379" uniqueCount="297">
  <si>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</si>
  <si>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</si>
  <si>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</si>
  <si>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</si>
  <si>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</si>
  <si>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</si>
  <si>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</si>
  <si>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</si>
  <si>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</si>
  <si>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</si>
  <si>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</si>
  <si>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</si>
  <si>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</si>
  <si>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</si>
  <si>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</si>
  <si>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</si>
  <si>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</si>
  <si>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</si>
  <si>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</si>
  <si>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</si>
  <si>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</si>
  <si>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</si>
  <si>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</si>
  <si>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</si>
  <si>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</si>
  <si>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</si>
  <si>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</si>
  <si>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</si>
  <si>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</si>
  <si>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</si>
  <si>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</si>
  <si>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</si>
  <si>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</si>
  <si>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</si>
  <si>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</si>
  <si>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</si>
  <si>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</si>
  <si>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</si>
  <si>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</si>
  <si>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</si>
  <si>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</si>
  <si>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</si>
  <si>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</si>
  <si>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</si>
  <si>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</si>
  <si>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</si>
  <si>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</si>
  <si>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</si>
  <si>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</si>
  <si>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</si>
  <si>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</si>
  <si>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</si>
  <si>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</si>
  <si>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</si>
  <si>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</si>
  <si>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</si>
  <si>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</si>
  <si>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</si>
  <si>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</si>
  <si>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</si>
  <si>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</si>
  <si>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</si>
  <si>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</si>
  <si>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</si>
  <si>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</si>
  <si>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</si>
  <si>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</si>
  <si>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</si>
  <si>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</si>
  <si>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</si>
  <si>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</si>
  <si>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</si>
  <si>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</si>
  <si>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</si>
  <si>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</si>
  <si>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</si>
  <si>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</si>
  <si>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</si>
  <si>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</si>
  <si>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</si>
  <si>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</si>
  <si>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</si>
  <si>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</si>
  <si>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</si>
  <si>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</si>
  <si>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</si>
  <si>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</si>
  <si>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</si>
  <si>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</si>
  <si>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</si>
  <si>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</si>
  <si>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</si>
  <si>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</si>
  <si>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</si>
  <si>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</si>
  <si>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</si>
  <si>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</si>
  <si>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</si>
  <si>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</si>
  <si>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</si>
  <si>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</si>
  <si>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</si>
  <si>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</si>
  <si>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</si>
  <si>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</si>
  <si>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</si>
  <si>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</si>
  <si>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</si>
  <si>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</si>
  <si>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</si>
  <si>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</si>
  <si>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</si>
  <si>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</si>
  <si>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</si>
  <si>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</si>
  <si>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</si>
  <si>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</si>
  <si>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</si>
  <si>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</si>
  <si>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</si>
  <si>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</si>
  <si>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</si>
  <si>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</si>
  <si>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</si>
  <si>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</si>
  <si>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</si>
  <si>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</si>
  <si>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</si>
  <si>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</si>
  <si>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</si>
  <si>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</si>
  <si>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</si>
  <si>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</si>
  <si>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</si>
  <si>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</si>
  <si>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</si>
  <si>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</si>
  <si>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</si>
  <si>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Combustibles, lubricantes, productos químicos y conexos consumidos</t>
  </si>
  <si>
    <t>Productos de cuero, caucho y plástico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</si>
  <si>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</si>
  <si>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</si>
  <si>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</si>
  <si>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</si>
  <si>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</si>
  <si>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</si>
  <si>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</si>
  <si>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</si>
  <si>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</si>
  <si>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</si>
  <si>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</si>
  <si>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</si>
  <si>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</si>
  <si>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</si>
  <si>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</si>
  <si>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</si>
  <si>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</si>
  <si>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</si>
  <si>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</si>
  <si>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</si>
  <si>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</si>
  <si>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</si>
  <si>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</si>
  <si>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</si>
  <si>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</si>
  <si>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</si>
  <si>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</si>
  <si>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</si>
  <si>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</si>
  <si>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</si>
  <si>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</si>
  <si>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</si>
  <si>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</si>
  <si>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</si>
  <si>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</si>
  <si>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 xml:space="preserve"> </t>
  </si>
  <si>
    <t>TOTAL</t>
  </si>
  <si>
    <t>Saldo al 31 de diciembre de 2022</t>
  </si>
  <si>
    <t>Total de cuentas por pagar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</si>
  <si>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</si>
  <si>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</si>
  <si>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</si>
  <si>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</si>
  <si>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</si>
  <si>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</si>
  <si>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</si>
  <si>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</si>
  <si>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</si>
  <si>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</si>
  <si>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 despreciado 2022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</si>
  <si>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</si>
  <si>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</si>
  <si>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</si>
  <si>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</si>
  <si>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</si>
  <si>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</si>
  <si>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</si>
  <si>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</si>
  <si>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</si>
  <si>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</si>
  <si>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</si>
  <si>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</si>
  <si>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</si>
  <si>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</si>
  <si>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</si>
  <si>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</si>
  <si>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</si>
  <si>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</si>
  <si>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</si>
  <si>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</si>
  <si>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</si>
  <si>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</si>
  <si>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 xml:space="preserve">        Firma del Financiero</t>
  </si>
  <si>
    <t>Descripcion</t>
  </si>
  <si>
    <t>Subvencion y otros pagos x transferencia al poder ejecutivo  del 2022 al 2021 es como sugue.</t>
  </si>
  <si>
    <t xml:space="preserve">Poder ejecutivo </t>
  </si>
  <si>
    <t xml:space="preserve">Otros Ingresos </t>
  </si>
  <si>
    <t xml:space="preserve">Los activos que aparecen con valor de un peso deben ser tasados y Valuados para conocerlos en este cierre </t>
  </si>
  <si>
    <t xml:space="preserve">Nota: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</si>
  <si>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</si>
  <si>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</si>
  <si>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</si>
  <si>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</si>
  <si>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</si>
  <si>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</si>
  <si>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</si>
  <si>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Un detalle del efectivo y equivalente de efectivo al 30 de junio de 2023 y 2022 es como sigue:</t>
  </si>
  <si>
    <t>Un detalle de las partidas de inventario al 30 de junio de 2023 y 2022 es como sigue:</t>
  </si>
  <si>
    <t>Un detalle de los pagos anticipados  al 30 de junio de 2023 y 2022 es como sigue:</t>
  </si>
  <si>
    <t>Un detalle de los activos intangibles al 30 de junio de 2023 y 2022 es como sigue:</t>
  </si>
  <si>
    <t>Un detalle de las cuentas por pagar a corto plazo  al 30 de junio de 2023 y 2022 es como sigue:</t>
  </si>
  <si>
    <t xml:space="preserve"> Un detalle de los activos netos al 30 de junio 2023 y 2022, la composición del capital de la Institución es como sigue:  </t>
  </si>
  <si>
    <t>un detalle de otros ingresos es 2023y 2022 es como sigue,</t>
  </si>
  <si>
    <t>Un detalle de los gastos de suministro y materiales para consumo al 30 de junio de 2023 y 2022 es como sigue:</t>
  </si>
  <si>
    <t>Un detalle de los gastos de depreciación y amortización al  30 de junio de 2023 y 2022 es como sigue:</t>
  </si>
  <si>
    <t>Un detalle de otros gastos  al 30 de junio de 2023 y 2022 es como sigue:</t>
  </si>
  <si>
    <t>-</t>
  </si>
  <si>
    <t>otras contrataciones de servicios</t>
  </si>
  <si>
    <t>seguros</t>
  </si>
  <si>
    <t>Un detalle de las cuentas sueldos, salarios, beneficios a empleados al 30 de junio 2022 y 2023 es como sigue:</t>
  </si>
  <si>
    <t>Al 30 de junio de 2023 y 2022</t>
  </si>
  <si>
    <t>Al 30 de junio de 2023</t>
  </si>
  <si>
    <t>P.A. Catering</t>
  </si>
  <si>
    <t>Khalicco Investment. S.R.L.</t>
  </si>
  <si>
    <t>R. Lopez y asociados. SRL</t>
  </si>
  <si>
    <t>Un detalle de las cuentas por pagar a largo al 30 de junio de 2023 y 2022 es como sigue:</t>
  </si>
  <si>
    <t xml:space="preserve">Floristeria Rosa Ines </t>
  </si>
  <si>
    <t>vip- catering</t>
  </si>
  <si>
    <t>tecnotec EIRL</t>
  </si>
  <si>
    <t>Grafica Willian,srl</t>
  </si>
  <si>
    <t xml:space="preserve">Excelencias y eventos  </t>
  </si>
  <si>
    <t>Publicaciones Ahora,s.a</t>
  </si>
  <si>
    <t>Imposdom</t>
  </si>
  <si>
    <t xml:space="preserve">Banreservas -parqueo </t>
  </si>
  <si>
    <t>crisflor floristeria</t>
  </si>
  <si>
    <t>Servicio e Insdtaslacines Tecnicas,S.A.</t>
  </si>
  <si>
    <t>PA catering</t>
  </si>
  <si>
    <t>Vimarte Publicidad,E.I.R.L</t>
  </si>
  <si>
    <t>Agua Cristal</t>
  </si>
  <si>
    <t>Jardin Iluciones,SRL</t>
  </si>
  <si>
    <t>Editora Hoy,S.A.S.</t>
  </si>
  <si>
    <t>Batuta By Pablo Polanco,SRL</t>
  </si>
  <si>
    <t>Atarazana Restaurant</t>
  </si>
  <si>
    <t>Fuimiplag</t>
  </si>
  <si>
    <t>Rms Rodolfo Multiservices</t>
  </si>
  <si>
    <t>Padron Office Supply</t>
  </si>
  <si>
    <t>Suplidora Daniela</t>
  </si>
  <si>
    <t>R.Lopez y Asociados,SRL</t>
  </si>
  <si>
    <t>Nota: Aporte de 125,000  del espectaculo ,mi muisica es mi bandera el cual fue transferido a la cuenta operativa.</t>
  </si>
  <si>
    <t xml:space="preserve">Retiros </t>
  </si>
  <si>
    <t>Obras de Artes</t>
  </si>
  <si>
    <t>Dep. Acum. al inicio del periodo 2022</t>
  </si>
  <si>
    <t>Saldo al final del periodo2023</t>
  </si>
  <si>
    <t>Costos de adquisición  (2022)</t>
  </si>
  <si>
    <t>Saldo al 31 de junio de 2023</t>
  </si>
  <si>
    <t xml:space="preserve">este monto es del calculo de </t>
  </si>
  <si>
    <t>Un detalle de los ingresos por transferencias y donaciones  al 30  de junio de 2023 y 2022 es como sigue:</t>
  </si>
  <si>
    <t>Saldo al 31  Diciembre 2022</t>
  </si>
  <si>
    <t>COUADRADO</t>
  </si>
  <si>
    <t>Saldo al final 2023</t>
  </si>
  <si>
    <t>Saldo al final del periodo despreciado 2023</t>
  </si>
  <si>
    <t>Activos Netos/Patrimonio (Notas 14)</t>
  </si>
  <si>
    <t>Ingresos (Notas 15 y 16)</t>
  </si>
  <si>
    <t>Gastos (Notas 17, 18, 19, 20 y 21)</t>
  </si>
  <si>
    <t>Sub-total</t>
  </si>
  <si>
    <t>Nota # 13  Cuentas por pagar a largo Plazo</t>
  </si>
  <si>
    <t>Nota# 14  Activos Netos/Patrimonio</t>
  </si>
  <si>
    <t>Nota: El ajuste al patrimonio se debe, no se estaba realizando la depreciación de los activos por el método correcto, dichos activos esta en proceso de saneamiento.</t>
  </si>
  <si>
    <t xml:space="preserve">Nota# 15 Transferencia y donaciones </t>
  </si>
  <si>
    <t>Nota #16 Otros Ingresos</t>
  </si>
  <si>
    <t xml:space="preserve"> Nota # 17 Sueldos, Salarios y beneficios a empleados</t>
  </si>
  <si>
    <t>Nota #18 Subvencion y otros pagos x transferencia</t>
  </si>
  <si>
    <t>Nota# 19 Suministro y materiales</t>
  </si>
  <si>
    <t xml:space="preserve">Descripción                                                                         </t>
  </si>
  <si>
    <t xml:space="preserve">Nota# 20 Gastos de depreciación y amortización </t>
  </si>
  <si>
    <t xml:space="preserve">Nota# 21 Otros gastos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</si>
  <si>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Los calculos efectuados en la nota #10 de propiedad planta y equipo son realizados con los montos de adquisiscion encontradosen el cierre del 2022, dichos montos calculados en el modulo de linea recta de manera mensual. </t>
    </r>
    <r>
      <rPr>
        <sz val="11"/>
        <color theme="1"/>
        <rFont val="Calibri"/>
        <family val="2"/>
        <scheme val="minor"/>
      </rPr>
      <t>Estamos en proceso para el levantamiento de inventario en el SIAB.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</si>
</sst>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-* #,##0.00\ _€_-;\-* #,##0.00\ _€_-;_-* &quot;-&quot;??\ _€_-;_-@"/>
    <numFmt numFmtId="167" formatCode="_-* #,##0\ _€_-;\-* #,##0\ _€_-;_-* &quot;-&quot;??\ _€_-;_-@"/>
    <numFmt numFmtId="168" formatCode="###0;###0"/>
    <numFmt numFmtId="169" formatCode="###0.0;###0.0"/>
    <numFmt numFmtId="170" formatCode="_-* #,##0.00\ _€_-;\-* #,##0.00\ _€_-;_-* &quot;-&quot;??\ _€_-;_-@_-"/>
    <numFmt numFmtId="171" formatCode="_-* #,##0.0\ _€_-;\-* #,##0.0\ _€_-;_-* &quot;-&quot;??\ _€_-;_-@_-"/>
    <numFmt numFmtId="172" formatCode="_-* #,##0\ _€_-;\-* #,##0\ _€_-;_-* &quot;-&quot;??\ _€_-;_-@_-"/>
  </numFmts>
  <fonts count="5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rgb="FFFF0000"/>
      <name val="Calibri"/>
      <family val="2"/>
    </font>
    <font>
      <b/>
      <u val="singleAccounting"/>
      <sz val="12"/>
      <color rgb="FF231F20"/>
      <name val="Times New Roman"/>
      <family val="1"/>
    </font>
    <font>
      <sz val="12"/>
      <color indexed="81"/>
      <name val="Tahom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393">
    <xf numFmtId="0" fontId="0" fillId="0" borderId="0" xfId="0"/>
    <xf numFmtId="0" fontId="11" fillId="0" borderId="0" xfId="0" applyFont="1"/>
    <xf numFmtId="165" fontId="11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7" fontId="11" fillId="0" borderId="0" xfId="0" applyNumberFormat="1" applyFont="1"/>
    <xf numFmtId="0" fontId="15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5" fillId="0" borderId="0" xfId="0" applyFont="1"/>
    <xf numFmtId="166" fontId="25" fillId="0" borderId="0" xfId="0" applyNumberFormat="1" applyFont="1"/>
    <xf numFmtId="0" fontId="27" fillId="0" borderId="0" xfId="0" applyFont="1"/>
    <xf numFmtId="43" fontId="28" fillId="0" borderId="1" xfId="0" applyNumberFormat="1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0" fontId="10" fillId="0" borderId="0" xfId="1"/>
    <xf numFmtId="4" fontId="10" fillId="0" borderId="0" xfId="1" applyNumberFormat="1"/>
    <xf numFmtId="43" fontId="10" fillId="0" borderId="0" xfId="1" applyNumberFormat="1"/>
    <xf numFmtId="165" fontId="30" fillId="0" borderId="0" xfId="2" applyNumberFormat="1" applyFont="1" applyBorder="1" applyAlignment="1">
      <alignment horizontal="right"/>
    </xf>
    <xf numFmtId="0" fontId="31" fillId="0" borderId="0" xfId="1" applyFont="1"/>
    <xf numFmtId="165" fontId="31" fillId="0" borderId="0" xfId="2" applyNumberFormat="1" applyFont="1" applyBorder="1" applyAlignment="1">
      <alignment horizontal="right"/>
    </xf>
    <xf numFmtId="0" fontId="30" fillId="0" borderId="0" xfId="1" applyFont="1"/>
    <xf numFmtId="170" fontId="31" fillId="0" borderId="0" xfId="2" applyFont="1"/>
    <xf numFmtId="170" fontId="0" fillId="0" borderId="0" xfId="2" applyFont="1"/>
    <xf numFmtId="0" fontId="29" fillId="0" borderId="0" xfId="1" applyFont="1"/>
    <xf numFmtId="0" fontId="29" fillId="0" borderId="1" xfId="1" applyFont="1" applyBorder="1"/>
    <xf numFmtId="165" fontId="31" fillId="0" borderId="0" xfId="2" applyNumberFormat="1" applyFont="1" applyAlignment="1">
      <alignment horizontal="right"/>
    </xf>
    <xf numFmtId="43" fontId="10" fillId="0" borderId="0" xfId="4" applyFont="1"/>
    <xf numFmtId="43" fontId="0" fillId="0" borderId="0" xfId="4" applyFont="1"/>
    <xf numFmtId="43" fontId="29" fillId="0" borderId="0" xfId="4" applyFont="1"/>
    <xf numFmtId="43" fontId="15" fillId="0" borderId="0" xfId="4" applyFont="1"/>
    <xf numFmtId="43" fontId="11" fillId="0" borderId="0" xfId="4" applyFont="1"/>
    <xf numFmtId="165" fontId="31" fillId="0" borderId="0" xfId="1" applyNumberFormat="1" applyFont="1"/>
    <xf numFmtId="0" fontId="0" fillId="0" borderId="0" xfId="0"/>
    <xf numFmtId="170" fontId="10" fillId="0" borderId="0" xfId="1" applyNumberFormat="1"/>
    <xf numFmtId="0" fontId="0" fillId="0" borderId="0" xfId="0"/>
    <xf numFmtId="43" fontId="25" fillId="0" borderId="0" xfId="0" applyNumberFormat="1" applyFont="1"/>
    <xf numFmtId="170" fontId="31" fillId="0" borderId="0" xfId="2" applyFont="1" applyAlignment="1">
      <alignment horizontal="left"/>
    </xf>
    <xf numFmtId="0" fontId="10" fillId="0" borderId="0" xfId="1" applyAlignment="1">
      <alignment horizontal="left"/>
    </xf>
    <xf numFmtId="0" fontId="0" fillId="0" borderId="0" xfId="0"/>
    <xf numFmtId="0" fontId="0" fillId="0" borderId="0" xfId="0"/>
    <xf numFmtId="43" fontId="29" fillId="0" borderId="0" xfId="1" applyNumberFormat="1" applyFont="1"/>
    <xf numFmtId="0" fontId="11" fillId="0" borderId="0" xfId="0" applyFont="1" applyFill="1"/>
    <xf numFmtId="3" fontId="18" fillId="0" borderId="0" xfId="0" applyNumberFormat="1" applyFont="1"/>
    <xf numFmtId="43" fontId="28" fillId="0" borderId="8" xfId="0" applyNumberFormat="1" applyFont="1" applyBorder="1" applyAlignment="1">
      <alignment horizontal="center" vertical="center"/>
    </xf>
    <xf numFmtId="43" fontId="28" fillId="0" borderId="0" xfId="0" applyNumberFormat="1" applyFont="1" applyFill="1" applyBorder="1" applyAlignment="1">
      <alignment horizontal="center" vertical="center"/>
    </xf>
    <xf numFmtId="43" fontId="14" fillId="0" borderId="0" xfId="0" applyNumberFormat="1" applyFont="1" applyFill="1" applyBorder="1" applyAlignment="1">
      <alignment horizontal="center" vertical="center"/>
    </xf>
    <xf numFmtId="43" fontId="18" fillId="0" borderId="0" xfId="0" applyNumberFormat="1" applyFont="1"/>
    <xf numFmtId="0" fontId="11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165" fontId="12" fillId="4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165" fontId="14" fillId="0" borderId="0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165" fontId="16" fillId="4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/>
    <xf numFmtId="0" fontId="14" fillId="0" borderId="0" xfId="0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vertical="center" wrapText="1"/>
    </xf>
    <xf numFmtId="165" fontId="14" fillId="0" borderId="0" xfId="0" applyNumberFormat="1" applyFont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16" fillId="0" borderId="0" xfId="0" applyFont="1" applyFill="1" applyBorder="1" applyAlignment="1">
      <alignment vertical="center" wrapText="1"/>
    </xf>
    <xf numFmtId="43" fontId="11" fillId="0" borderId="0" xfId="0" applyNumberFormat="1" applyFont="1" applyBorder="1"/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 wrapText="1"/>
    </xf>
    <xf numFmtId="43" fontId="16" fillId="4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170" fontId="32" fillId="0" borderId="0" xfId="2" applyFont="1" applyBorder="1"/>
    <xf numFmtId="170" fontId="33" fillId="0" borderId="0" xfId="2" applyFont="1" applyBorder="1"/>
    <xf numFmtId="0" fontId="0" fillId="0" borderId="0" xfId="0"/>
    <xf numFmtId="0" fontId="11" fillId="0" borderId="0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 vertical="center"/>
    </xf>
    <xf numFmtId="43" fontId="28" fillId="0" borderId="0" xfId="0" applyNumberFormat="1" applyFont="1" applyBorder="1" applyAlignment="1">
      <alignment horizontal="center" vertical="center"/>
    </xf>
    <xf numFmtId="43" fontId="28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43" fontId="25" fillId="0" borderId="0" xfId="0" applyNumberFormat="1" applyFont="1" applyBorder="1"/>
    <xf numFmtId="43" fontId="25" fillId="4" borderId="0" xfId="0" applyNumberFormat="1" applyFont="1" applyFill="1" applyBorder="1"/>
    <xf numFmtId="0" fontId="2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6" fontId="25" fillId="0" borderId="0" xfId="0" applyNumberFormat="1" applyFont="1" applyBorder="1"/>
    <xf numFmtId="0" fontId="2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168" fontId="20" fillId="0" borderId="0" xfId="0" applyNumberFormat="1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43" fontId="21" fillId="0" borderId="0" xfId="0" applyNumberFormat="1" applyFont="1" applyBorder="1" applyAlignment="1">
      <alignment horizontal="center" vertical="top" wrapText="1"/>
    </xf>
    <xf numFmtId="9" fontId="21" fillId="0" borderId="0" xfId="0" applyNumberFormat="1" applyFont="1" applyBorder="1" applyAlignment="1">
      <alignment horizontal="center" vertical="top" wrapText="1"/>
    </xf>
    <xf numFmtId="166" fontId="21" fillId="0" borderId="0" xfId="0" applyNumberFormat="1" applyFont="1" applyBorder="1" applyAlignment="1">
      <alignment horizontal="center" vertical="top" wrapText="1"/>
    </xf>
    <xf numFmtId="169" fontId="22" fillId="0" borderId="0" xfId="0" applyNumberFormat="1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43" fontId="23" fillId="0" borderId="0" xfId="0" applyNumberFormat="1" applyFont="1" applyBorder="1" applyAlignment="1">
      <alignment horizontal="center" vertical="top" wrapText="1"/>
    </xf>
    <xf numFmtId="4" fontId="23" fillId="0" borderId="0" xfId="0" applyNumberFormat="1" applyFont="1" applyBorder="1"/>
    <xf numFmtId="0" fontId="23" fillId="0" borderId="0" xfId="0" applyFont="1" applyFill="1" applyBorder="1" applyAlignment="1">
      <alignment horizontal="left" vertical="top" wrapText="1"/>
    </xf>
    <xf numFmtId="0" fontId="18" fillId="0" borderId="0" xfId="0" applyFont="1" applyBorder="1"/>
    <xf numFmtId="43" fontId="23" fillId="4" borderId="0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43" fontId="21" fillId="0" borderId="0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9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43" fontId="16" fillId="0" borderId="0" xfId="0" applyNumberFormat="1" applyFont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left" vertical="center" wrapText="1"/>
    </xf>
    <xf numFmtId="43" fontId="16" fillId="0" borderId="2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 wrapText="1"/>
    </xf>
    <xf numFmtId="43" fontId="28" fillId="0" borderId="3" xfId="0" applyNumberFormat="1" applyFont="1" applyBorder="1" applyAlignment="1">
      <alignment horizontal="center" vertical="center"/>
    </xf>
    <xf numFmtId="43" fontId="28" fillId="4" borderId="3" xfId="0" applyNumberFormat="1" applyFont="1" applyFill="1" applyBorder="1" applyAlignment="1">
      <alignment horizontal="center" vertical="center"/>
    </xf>
    <xf numFmtId="43" fontId="26" fillId="4" borderId="5" xfId="0" applyNumberFormat="1" applyFont="1" applyFill="1" applyBorder="1" applyAlignment="1">
      <alignment horizontal="center" vertical="center"/>
    </xf>
    <xf numFmtId="43" fontId="26" fillId="0" borderId="5" xfId="0" applyNumberFormat="1" applyFont="1" applyBorder="1" applyAlignment="1">
      <alignment horizontal="center" vertical="center"/>
    </xf>
    <xf numFmtId="43" fontId="15" fillId="0" borderId="0" xfId="0" applyNumberFormat="1" applyFont="1"/>
    <xf numFmtId="0" fontId="11" fillId="0" borderId="0" xfId="0" applyFont="1" applyBorder="1" applyAlignment="1">
      <alignment vertical="center"/>
    </xf>
    <xf numFmtId="166" fontId="11" fillId="0" borderId="0" xfId="0" applyNumberFormat="1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3" fontId="26" fillId="0" borderId="7" xfId="0" applyNumberFormat="1" applyFont="1" applyBorder="1" applyAlignment="1">
      <alignment horizontal="center" vertical="center"/>
    </xf>
    <xf numFmtId="43" fontId="26" fillId="4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/>
    <xf numFmtId="0" fontId="11" fillId="0" borderId="0" xfId="0" applyFont="1" applyBorder="1"/>
    <xf numFmtId="165" fontId="16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29" fillId="0" borderId="0" xfId="1" applyNumberFormat="1" applyFont="1" applyFill="1" applyBorder="1"/>
    <xf numFmtId="0" fontId="9" fillId="0" borderId="0" xfId="1" applyFont="1"/>
    <xf numFmtId="0" fontId="29" fillId="0" borderId="0" xfId="1" applyFont="1" applyAlignment="1">
      <alignment horizontal="center"/>
    </xf>
    <xf numFmtId="43" fontId="9" fillId="0" borderId="3" xfId="4" applyFont="1" applyBorder="1" applyAlignment="1">
      <alignment horizontal="right"/>
    </xf>
    <xf numFmtId="165" fontId="9" fillId="0" borderId="0" xfId="2" applyNumberFormat="1" applyFont="1" applyAlignment="1">
      <alignment horizontal="right"/>
    </xf>
    <xf numFmtId="43" fontId="29" fillId="0" borderId="7" xfId="4" applyFont="1" applyBorder="1" applyAlignment="1">
      <alignment horizontal="right"/>
    </xf>
    <xf numFmtId="165" fontId="29" fillId="0" borderId="2" xfId="2" applyNumberFormat="1" applyFont="1" applyBorder="1" applyAlignment="1">
      <alignment horizontal="right"/>
    </xf>
    <xf numFmtId="4" fontId="9" fillId="0" borderId="0" xfId="1" applyNumberFormat="1" applyFont="1"/>
    <xf numFmtId="165" fontId="9" fillId="0" borderId="0" xfId="2" applyNumberFormat="1" applyFont="1" applyBorder="1" applyAlignment="1">
      <alignment horizontal="right"/>
    </xf>
    <xf numFmtId="0" fontId="29" fillId="0" borderId="0" xfId="1" applyFont="1" applyFill="1"/>
    <xf numFmtId="0" fontId="9" fillId="0" borderId="0" xfId="1" applyFont="1" applyFill="1"/>
    <xf numFmtId="0" fontId="29" fillId="0" borderId="0" xfId="1" applyFont="1" applyFill="1" applyAlignment="1">
      <alignment horizontal="center"/>
    </xf>
    <xf numFmtId="3" fontId="9" fillId="0" borderId="3" xfId="1" applyNumberFormat="1" applyFont="1" applyFill="1" applyBorder="1"/>
    <xf numFmtId="165" fontId="29" fillId="0" borderId="0" xfId="2" applyNumberFormat="1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165" fontId="42" fillId="0" borderId="0" xfId="2" applyNumberFormat="1" applyFont="1" applyFill="1" applyBorder="1" applyAlignment="1">
      <alignment horizontal="right"/>
    </xf>
    <xf numFmtId="0" fontId="9" fillId="0" borderId="1" xfId="1" applyFont="1" applyBorder="1"/>
    <xf numFmtId="0" fontId="29" fillId="0" borderId="1" xfId="1" applyFont="1" applyBorder="1" applyAlignment="1">
      <alignment horizontal="center"/>
    </xf>
    <xf numFmtId="0" fontId="29" fillId="0" borderId="1" xfId="1" applyFont="1" applyBorder="1" applyAlignment="1">
      <alignment horizontal="center" wrapText="1"/>
    </xf>
    <xf numFmtId="0" fontId="29" fillId="0" borderId="1" xfId="1" applyFont="1" applyBorder="1" applyAlignment="1">
      <alignment wrapText="1"/>
    </xf>
    <xf numFmtId="170" fontId="29" fillId="0" borderId="1" xfId="2" applyFont="1" applyBorder="1" applyAlignment="1"/>
    <xf numFmtId="170" fontId="29" fillId="0" borderId="1" xfId="2" applyFont="1" applyBorder="1"/>
    <xf numFmtId="0" fontId="9" fillId="0" borderId="1" xfId="1" applyFont="1" applyFill="1" applyBorder="1"/>
    <xf numFmtId="170" fontId="9" fillId="0" borderId="1" xfId="2" applyFont="1" applyFill="1" applyBorder="1"/>
    <xf numFmtId="170" fontId="29" fillId="0" borderId="1" xfId="2" applyFont="1" applyFill="1" applyBorder="1"/>
    <xf numFmtId="170" fontId="9" fillId="0" borderId="1" xfId="2" applyFont="1" applyBorder="1"/>
    <xf numFmtId="170" fontId="29" fillId="0" borderId="1" xfId="2" applyFont="1" applyFill="1" applyBorder="1" applyAlignment="1">
      <alignment horizontal="left" indent="1"/>
    </xf>
    <xf numFmtId="0" fontId="29" fillId="4" borderId="1" xfId="1" applyFont="1" applyFill="1" applyBorder="1" applyAlignment="1">
      <alignment wrapText="1"/>
    </xf>
    <xf numFmtId="170" fontId="29" fillId="4" borderId="1" xfId="2" applyFont="1" applyFill="1" applyBorder="1"/>
    <xf numFmtId="170" fontId="9" fillId="0" borderId="0" xfId="2" applyFont="1"/>
    <xf numFmtId="170" fontId="29" fillId="0" borderId="0" xfId="2" applyFont="1" applyFill="1" applyBorder="1"/>
    <xf numFmtId="165" fontId="29" fillId="0" borderId="2" xfId="2" applyNumberFormat="1" applyFont="1" applyFill="1" applyBorder="1" applyAlignment="1">
      <alignment horizontal="right"/>
    </xf>
    <xf numFmtId="165" fontId="29" fillId="0" borderId="0" xfId="2" applyNumberFormat="1" applyFont="1" applyBorder="1" applyAlignment="1">
      <alignment horizontal="right"/>
    </xf>
    <xf numFmtId="0" fontId="9" fillId="4" borderId="0" xfId="1" applyFont="1" applyFill="1"/>
    <xf numFmtId="0" fontId="29" fillId="0" borderId="0" xfId="1" applyFont="1" applyAlignment="1">
      <alignment horizontal="right"/>
    </xf>
    <xf numFmtId="0" fontId="43" fillId="0" borderId="0" xfId="1" applyFont="1"/>
    <xf numFmtId="3" fontId="9" fillId="0" borderId="0" xfId="1" applyNumberFormat="1" applyFont="1"/>
    <xf numFmtId="165" fontId="9" fillId="0" borderId="3" xfId="2" applyNumberFormat="1" applyFont="1" applyBorder="1" applyAlignment="1">
      <alignment horizontal="right"/>
    </xf>
    <xf numFmtId="0" fontId="41" fillId="0" borderId="0" xfId="1" applyFont="1" applyFill="1"/>
    <xf numFmtId="43" fontId="45" fillId="0" borderId="0" xfId="4" applyFont="1" applyAlignment="1">
      <alignment horizontal="right"/>
    </xf>
    <xf numFmtId="0" fontId="9" fillId="0" borderId="0" xfId="1" applyFont="1" applyAlignment="1">
      <alignment horizontal="right"/>
    </xf>
    <xf numFmtId="0" fontId="29" fillId="0" borderId="0" xfId="1" applyFont="1" applyBorder="1"/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left" wrapText="1"/>
    </xf>
    <xf numFmtId="9" fontId="9" fillId="0" borderId="0" xfId="3" applyFont="1" applyAlignment="1">
      <alignment horizontal="center"/>
    </xf>
    <xf numFmtId="165" fontId="9" fillId="0" borderId="0" xfId="1" applyNumberFormat="1" applyFont="1"/>
    <xf numFmtId="172" fontId="9" fillId="0" borderId="0" xfId="2" applyNumberFormat="1" applyFont="1"/>
    <xf numFmtId="43" fontId="9" fillId="0" borderId="0" xfId="2" applyNumberFormat="1" applyFont="1" applyBorder="1" applyAlignment="1">
      <alignment horizontal="right"/>
    </xf>
    <xf numFmtId="4" fontId="9" fillId="0" borderId="0" xfId="1" applyNumberFormat="1" applyFont="1" applyFill="1"/>
    <xf numFmtId="43" fontId="9" fillId="0" borderId="0" xfId="2" applyNumberFormat="1" applyFont="1" applyFill="1" applyBorder="1" applyAlignment="1">
      <alignment horizontal="right"/>
    </xf>
    <xf numFmtId="43" fontId="9" fillId="0" borderId="0" xfId="2" applyNumberFormat="1" applyFont="1" applyBorder="1" applyAlignment="1">
      <alignment horizontal="left"/>
    </xf>
    <xf numFmtId="3" fontId="9" fillId="0" borderId="0" xfId="1" applyNumberFormat="1" applyFont="1" applyFill="1"/>
    <xf numFmtId="43" fontId="29" fillId="0" borderId="2" xfId="2" applyNumberFormat="1" applyFont="1" applyFill="1" applyBorder="1" applyAlignment="1">
      <alignment horizontal="right"/>
    </xf>
    <xf numFmtId="43" fontId="29" fillId="0" borderId="2" xfId="2" applyNumberFormat="1" applyFont="1" applyBorder="1" applyAlignment="1">
      <alignment horizontal="right"/>
    </xf>
    <xf numFmtId="43" fontId="34" fillId="0" borderId="0" xfId="2" applyNumberFormat="1" applyFont="1"/>
    <xf numFmtId="0" fontId="29" fillId="4" borderId="0" xfId="1" applyFont="1" applyFill="1"/>
    <xf numFmtId="0" fontId="9" fillId="4" borderId="0" xfId="1" applyFont="1" applyFill="1" applyAlignment="1">
      <alignment horizontal="right"/>
    </xf>
    <xf numFmtId="43" fontId="29" fillId="0" borderId="0" xfId="2" applyNumberFormat="1" applyFont="1" applyBorder="1" applyAlignment="1">
      <alignment horizontal="right"/>
    </xf>
    <xf numFmtId="43" fontId="9" fillId="0" borderId="3" xfId="2" applyNumberFormat="1" applyFont="1" applyBorder="1" applyAlignment="1">
      <alignment horizontal="right"/>
    </xf>
    <xf numFmtId="171" fontId="29" fillId="0" borderId="0" xfId="2" applyNumberFormat="1" applyFont="1" applyBorder="1"/>
    <xf numFmtId="165" fontId="9" fillId="0" borderId="0" xfId="2" quotePrefix="1" applyNumberFormat="1" applyFont="1" applyBorder="1" applyAlignment="1">
      <alignment horizontal="center"/>
    </xf>
    <xf numFmtId="165" fontId="9" fillId="0" borderId="0" xfId="2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4" fontId="9" fillId="0" borderId="3" xfId="1" applyNumberFormat="1" applyFont="1" applyBorder="1"/>
    <xf numFmtId="0" fontId="9" fillId="0" borderId="0" xfId="1" applyFont="1" applyBorder="1"/>
    <xf numFmtId="0" fontId="12" fillId="0" borderId="0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165" fontId="12" fillId="0" borderId="0" xfId="0" applyNumberFormat="1" applyFont="1" applyBorder="1" applyAlignment="1">
      <alignment horizontal="center" vertical="center"/>
    </xf>
    <xf numFmtId="0" fontId="0" fillId="0" borderId="0" xfId="0" applyAlignment="1"/>
    <xf numFmtId="4" fontId="18" fillId="0" borderId="0" xfId="0" applyNumberFormat="1" applyFont="1" applyBorder="1"/>
    <xf numFmtId="0" fontId="8" fillId="0" borderId="0" xfId="1" applyFont="1"/>
    <xf numFmtId="0" fontId="8" fillId="0" borderId="0" xfId="1" applyFont="1" applyFill="1"/>
    <xf numFmtId="0" fontId="8" fillId="4" borderId="0" xfId="1" applyFont="1" applyFill="1"/>
    <xf numFmtId="165" fontId="8" fillId="0" borderId="0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center"/>
    </xf>
    <xf numFmtId="165" fontId="29" fillId="0" borderId="2" xfId="2" applyNumberFormat="1" applyFont="1" applyBorder="1" applyAlignment="1">
      <alignment horizontal="center"/>
    </xf>
    <xf numFmtId="0" fontId="47" fillId="0" borderId="0" xfId="1" applyFont="1" applyFill="1"/>
    <xf numFmtId="43" fontId="31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34" fillId="0" borderId="0" xfId="0" applyFont="1" applyBorder="1"/>
    <xf numFmtId="0" fontId="49" fillId="0" borderId="0" xfId="0" applyFont="1" applyBorder="1"/>
    <xf numFmtId="43" fontId="48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7" fillId="0" borderId="0" xfId="1" applyFont="1" applyFill="1"/>
    <xf numFmtId="43" fontId="17" fillId="0" borderId="0" xfId="0" applyNumberFormat="1" applyFont="1" applyBorder="1" applyAlignment="1">
      <alignment horizontal="center" vertical="center" wrapText="1"/>
    </xf>
    <xf numFmtId="43" fontId="7" fillId="0" borderId="0" xfId="2" applyNumberFormat="1" applyFont="1" applyBorder="1" applyAlignment="1">
      <alignment horizontal="right"/>
    </xf>
    <xf numFmtId="0" fontId="31" fillId="0" borderId="0" xfId="1" applyFont="1" applyFill="1"/>
    <xf numFmtId="3" fontId="10" fillId="0" borderId="0" xfId="1" applyNumberFormat="1"/>
    <xf numFmtId="43" fontId="6" fillId="0" borderId="0" xfId="4" applyFont="1"/>
    <xf numFmtId="0" fontId="0" fillId="0" borderId="0" xfId="0"/>
    <xf numFmtId="0" fontId="5" fillId="0" borderId="1" xfId="1" applyFont="1" applyBorder="1"/>
    <xf numFmtId="43" fontId="11" fillId="0" borderId="0" xfId="4" applyFont="1" applyBorder="1"/>
    <xf numFmtId="43" fontId="0" fillId="0" borderId="0" xfId="4" applyFont="1" applyAlignment="1">
      <alignment vertical="center"/>
    </xf>
    <xf numFmtId="165" fontId="15" fillId="0" borderId="0" xfId="0" applyNumberFormat="1" applyFont="1"/>
    <xf numFmtId="43" fontId="14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/>
    <xf numFmtId="165" fontId="16" fillId="0" borderId="5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3" fontId="11" fillId="0" borderId="5" xfId="0" applyNumberFormat="1" applyFont="1" applyFill="1" applyBorder="1"/>
    <xf numFmtId="0" fontId="15" fillId="0" borderId="0" xfId="0" applyFont="1" applyFill="1" applyBorder="1"/>
    <xf numFmtId="0" fontId="11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left" vertical="center"/>
    </xf>
    <xf numFmtId="0" fontId="5" fillId="0" borderId="1" xfId="1" applyFont="1" applyFill="1" applyBorder="1"/>
    <xf numFmtId="0" fontId="30" fillId="0" borderId="0" xfId="1" applyFont="1" applyFill="1" applyBorder="1"/>
    <xf numFmtId="0" fontId="4" fillId="0" borderId="0" xfId="1" applyFont="1"/>
    <xf numFmtId="0" fontId="16" fillId="0" borderId="0" xfId="0" applyFont="1" applyFill="1" applyBorder="1" applyAlignment="1">
      <alignment horizontal="left" vertical="center"/>
    </xf>
    <xf numFmtId="43" fontId="26" fillId="0" borderId="7" xfId="0" applyNumberFormat="1" applyFont="1" applyFill="1" applyBorder="1" applyAlignment="1">
      <alignment horizontal="center" vertical="center"/>
    </xf>
    <xf numFmtId="165" fontId="46" fillId="0" borderId="2" xfId="2" applyNumberFormat="1" applyFont="1" applyBorder="1" applyAlignment="1">
      <alignment horizontal="right"/>
    </xf>
    <xf numFmtId="0" fontId="43" fillId="0" borderId="0" xfId="1" applyFont="1" applyFill="1"/>
    <xf numFmtId="0" fontId="46" fillId="0" borderId="0" xfId="1" applyFont="1"/>
    <xf numFmtId="43" fontId="16" fillId="0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/>
    <xf numFmtId="0" fontId="0" fillId="0" borderId="0" xfId="0" applyFill="1"/>
    <xf numFmtId="43" fontId="11" fillId="0" borderId="0" xfId="0" applyNumberFormat="1" applyFont="1" applyFill="1" applyBorder="1" applyAlignment="1">
      <alignment vertical="top" wrapText="1"/>
    </xf>
    <xf numFmtId="43" fontId="14" fillId="0" borderId="0" xfId="0" applyNumberFormat="1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43" fontId="50" fillId="0" borderId="0" xfId="0" applyNumberFormat="1" applyFont="1" applyFill="1" applyBorder="1" applyAlignment="1">
      <alignment vertical="center" wrapText="1"/>
    </xf>
    <xf numFmtId="43" fontId="14" fillId="0" borderId="3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43" fontId="15" fillId="0" borderId="0" xfId="0" applyNumberFormat="1" applyFont="1" applyFill="1"/>
    <xf numFmtId="0" fontId="15" fillId="0" borderId="0" xfId="0" applyFont="1" applyFill="1"/>
    <xf numFmtId="165" fontId="13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/>
    <xf numFmtId="170" fontId="0" fillId="0" borderId="0" xfId="0" applyNumberFormat="1"/>
    <xf numFmtId="43" fontId="3" fillId="0" borderId="0" xfId="1" applyNumberFormat="1" applyFont="1"/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top" wrapText="1"/>
    </xf>
    <xf numFmtId="43" fontId="23" fillId="0" borderId="0" xfId="0" applyNumberFormat="1" applyFont="1" applyFill="1" applyBorder="1" applyAlignment="1">
      <alignment horizontal="center" vertical="top" wrapText="1"/>
    </xf>
    <xf numFmtId="4" fontId="23" fillId="0" borderId="0" xfId="0" applyNumberFormat="1" applyFont="1" applyFill="1" applyBorder="1"/>
    <xf numFmtId="4" fontId="18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center" wrapText="1"/>
    </xf>
    <xf numFmtId="0" fontId="10" fillId="0" borderId="0" xfId="1" applyFill="1"/>
    <xf numFmtId="0" fontId="9" fillId="0" borderId="0" xfId="1" applyFont="1" applyFill="1" applyAlignment="1">
      <alignment horizontal="right"/>
    </xf>
    <xf numFmtId="0" fontId="29" fillId="0" borderId="1" xfId="1" applyFont="1" applyFill="1" applyBorder="1" applyAlignment="1">
      <alignment wrapText="1"/>
    </xf>
    <xf numFmtId="0" fontId="29" fillId="0" borderId="1" xfId="1" applyFont="1" applyFill="1" applyBorder="1"/>
    <xf numFmtId="164" fontId="14" fillId="4" borderId="0" xfId="5" applyFont="1" applyFill="1" applyBorder="1" applyAlignment="1">
      <alignment horizontal="left" vertical="center"/>
    </xf>
    <xf numFmtId="164" fontId="15" fillId="4" borderId="0" xfId="5" applyFont="1" applyFill="1" applyBorder="1" applyAlignment="1">
      <alignment horizontal="center"/>
    </xf>
    <xf numFmtId="164" fontId="0" fillId="4" borderId="0" xfId="5" applyFont="1" applyFill="1"/>
    <xf numFmtId="164" fontId="25" fillId="4" borderId="0" xfId="5" applyFont="1" applyFill="1"/>
    <xf numFmtId="0" fontId="28" fillId="4" borderId="0" xfId="5" applyNumberFormat="1" applyFont="1" applyFill="1" applyBorder="1" applyAlignment="1">
      <alignment horizontal="center" vertical="center"/>
    </xf>
    <xf numFmtId="4" fontId="28" fillId="4" borderId="0" xfId="5" applyNumberFormat="1" applyFont="1" applyFill="1" applyBorder="1" applyAlignment="1">
      <alignment horizontal="right" vertical="center"/>
    </xf>
    <xf numFmtId="165" fontId="29" fillId="0" borderId="7" xfId="2" applyNumberFormat="1" applyFont="1" applyFill="1" applyBorder="1" applyAlignment="1">
      <alignment horizontal="right"/>
    </xf>
    <xf numFmtId="0" fontId="9" fillId="0" borderId="0" xfId="1" applyFont="1" applyAlignment="1"/>
    <xf numFmtId="0" fontId="2" fillId="0" borderId="0" xfId="1" applyFont="1" applyAlignment="1"/>
    <xf numFmtId="0" fontId="2" fillId="0" borderId="1" xfId="1" applyFont="1" applyBorder="1" applyAlignment="1">
      <alignment wrapText="1"/>
    </xf>
    <xf numFmtId="43" fontId="10" fillId="0" borderId="1" xfId="4" applyFont="1" applyFill="1" applyBorder="1"/>
    <xf numFmtId="170" fontId="9" fillId="0" borderId="0" xfId="1" applyNumberFormat="1" applyFont="1"/>
    <xf numFmtId="170" fontId="2" fillId="4" borderId="1" xfId="2" applyFont="1" applyFill="1" applyBorder="1"/>
    <xf numFmtId="170" fontId="2" fillId="0" borderId="1" xfId="2" applyFont="1" applyFill="1" applyBorder="1"/>
    <xf numFmtId="43" fontId="16" fillId="0" borderId="0" xfId="4" applyFon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 wrapText="1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3" xfId="4" applyFont="1" applyFill="1" applyBorder="1" applyAlignment="1">
      <alignment horizontal="center" vertical="center" wrapText="1"/>
    </xf>
    <xf numFmtId="43" fontId="14" fillId="0" borderId="0" xfId="0" applyNumberFormat="1" applyFont="1" applyFill="1" applyBorder="1" applyAlignment="1">
      <alignment horizontal="left" vertical="center" wrapText="1"/>
    </xf>
    <xf numFmtId="43" fontId="14" fillId="0" borderId="3" xfId="0" applyNumberFormat="1" applyFont="1" applyFill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center" vertical="center"/>
    </xf>
    <xf numFmtId="43" fontId="16" fillId="0" borderId="2" xfId="0" applyNumberFormat="1" applyFont="1" applyFill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left" vertical="center" wrapText="1"/>
    </xf>
    <xf numFmtId="165" fontId="12" fillId="0" borderId="0" xfId="2" applyNumberFormat="1" applyFont="1" applyFill="1" applyBorder="1" applyAlignment="1">
      <alignment horizontal="right"/>
    </xf>
    <xf numFmtId="165" fontId="16" fillId="0" borderId="3" xfId="0" applyNumberFormat="1" applyFont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43" fontId="51" fillId="0" borderId="0" xfId="0" applyNumberFormat="1" applyFont="1" applyFill="1" applyBorder="1" applyAlignment="1">
      <alignment horizontal="center" vertical="center"/>
    </xf>
    <xf numFmtId="43" fontId="14" fillId="4" borderId="0" xfId="4" applyFont="1" applyFill="1" applyBorder="1" applyAlignment="1">
      <alignment horizontal="right" vertical="center"/>
    </xf>
    <xf numFmtId="43" fontId="9" fillId="0" borderId="0" xfId="4" applyFont="1" applyBorder="1" applyAlignment="1">
      <alignment horizontal="right"/>
    </xf>
    <xf numFmtId="43" fontId="29" fillId="0" borderId="2" xfId="4" applyFont="1" applyBorder="1"/>
    <xf numFmtId="0" fontId="2" fillId="0" borderId="0" xfId="1" applyFont="1"/>
    <xf numFmtId="43" fontId="10" fillId="0" borderId="0" xfId="4" applyFont="1" applyFill="1"/>
    <xf numFmtId="165" fontId="9" fillId="0" borderId="3" xfId="4" applyNumberFormat="1" applyFont="1" applyBorder="1" applyAlignment="1">
      <alignment horizontal="right"/>
    </xf>
    <xf numFmtId="165" fontId="44" fillId="0" borderId="3" xfId="0" applyNumberFormat="1" applyFont="1" applyFill="1" applyBorder="1" applyAlignment="1">
      <alignment horizontal="center" vertical="top" wrapText="1"/>
    </xf>
    <xf numFmtId="3" fontId="29" fillId="0" borderId="0" xfId="1" applyNumberFormat="1" applyFont="1" applyBorder="1"/>
    <xf numFmtId="3" fontId="29" fillId="0" borderId="7" xfId="1" applyNumberFormat="1" applyFont="1" applyBorder="1"/>
    <xf numFmtId="165" fontId="29" fillId="0" borderId="7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0" fontId="29" fillId="0" borderId="0" xfId="1" applyFont="1" applyFill="1" applyAlignment="1">
      <alignment horizontal="center" vertical="center"/>
    </xf>
    <xf numFmtId="0" fontId="29" fillId="0" borderId="0" xfId="2" applyNumberFormat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171" fontId="29" fillId="0" borderId="2" xfId="2" applyNumberFormat="1" applyFont="1" applyFill="1" applyBorder="1"/>
    <xf numFmtId="171" fontId="29" fillId="4" borderId="7" xfId="2" applyNumberFormat="1" applyFont="1" applyFill="1" applyBorder="1"/>
    <xf numFmtId="165" fontId="29" fillId="0" borderId="5" xfId="2" applyNumberFormat="1" applyFont="1" applyBorder="1" applyAlignment="1">
      <alignment horizontal="right"/>
    </xf>
    <xf numFmtId="165" fontId="29" fillId="0" borderId="5" xfId="1" applyNumberFormat="1" applyFont="1" applyFill="1" applyBorder="1"/>
    <xf numFmtId="4" fontId="29" fillId="0" borderId="2" xfId="1" applyNumberFormat="1" applyFont="1" applyFill="1" applyBorder="1"/>
    <xf numFmtId="43" fontId="29" fillId="0" borderId="2" xfId="1" applyNumberFormat="1" applyFont="1" applyBorder="1"/>
    <xf numFmtId="0" fontId="46" fillId="4" borderId="0" xfId="1" applyFont="1" applyFill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3" fontId="2" fillId="0" borderId="3" xfId="1" applyNumberFormat="1" applyFont="1" applyBorder="1"/>
    <xf numFmtId="43" fontId="2" fillId="0" borderId="3" xfId="4" applyFont="1" applyBorder="1" applyAlignment="1">
      <alignment horizontal="right"/>
    </xf>
    <xf numFmtId="43" fontId="29" fillId="0" borderId="7" xfId="4" applyFont="1" applyBorder="1"/>
    <xf numFmtId="0" fontId="29" fillId="4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/>
    <xf numFmtId="0" fontId="16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left" vertical="center" wrapText="1"/>
    </xf>
    <xf numFmtId="0" fontId="0" fillId="0" borderId="0" xfId="0"/>
    <xf numFmtId="0" fontId="39" fillId="0" borderId="0" xfId="0" applyFont="1" applyBorder="1"/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/>
    <xf numFmtId="0" fontId="4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9" fillId="0" borderId="0" xfId="1" applyFont="1" applyFill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9" fillId="3" borderId="6" xfId="1" applyFont="1" applyFill="1" applyBorder="1" applyAlignment="1">
      <alignment horizontal="center"/>
    </xf>
    <xf numFmtId="0" fontId="29" fillId="3" borderId="5" xfId="1" applyFont="1" applyFill="1" applyBorder="1" applyAlignment="1">
      <alignment horizontal="center"/>
    </xf>
    <xf numFmtId="0" fontId="29" fillId="3" borderId="4" xfId="1" applyFont="1" applyFill="1" applyBorder="1" applyAlignment="1">
      <alignment horizontal="center"/>
    </xf>
    <xf numFmtId="0" fontId="2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9" fillId="0" borderId="0" xfId="1" applyFont="1" applyAlignment="1">
      <alignment horizontal="left" vertical="top" wrapText="1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71</xdr:row>
      <xdr:rowOff>19051</xdr:rowOff>
    </xdr:from>
    <xdr:to>
      <xdr:col>0</xdr:col>
      <xdr:colOff>2905125</xdr:colOff>
      <xdr:row>71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71</xdr:row>
      <xdr:rowOff>0</xdr:rowOff>
    </xdr:from>
    <xdr:to>
      <xdr:col>3</xdr:col>
      <xdr:colOff>114300</xdr:colOff>
      <xdr:row>71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75</xdr:row>
      <xdr:rowOff>9525</xdr:rowOff>
    </xdr:from>
    <xdr:to>
      <xdr:col>0</xdr:col>
      <xdr:colOff>2743200</xdr:colOff>
      <xdr:row>75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74</xdr:row>
      <xdr:rowOff>152400</xdr:rowOff>
    </xdr:from>
    <xdr:to>
      <xdr:col>3</xdr:col>
      <xdr:colOff>28575</xdr:colOff>
      <xdr:row>74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695325</xdr:colOff>
      <xdr:row>62</xdr:row>
      <xdr:rowOff>123825</xdr:rowOff>
    </xdr:from>
    <xdr:to>
      <xdr:col>1</xdr:col>
      <xdr:colOff>704850</xdr:colOff>
      <xdr:row>62</xdr:row>
      <xdr:rowOff>171450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3933825" y="7858125"/>
          <a:ext cx="9525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0"/>
  <sheetViews>
    <sheetView view="pageBreakPreview" zoomScaleNormal="100" zoomScaleSheetLayoutView="100" workbookViewId="0">
      <selection activeCell="C66" sqref="C66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22.28515625" customWidth="1"/>
    <col min="6" max="6" width="17.7109375" customWidth="1"/>
    <col min="7" max="7" width="21.28515625" customWidth="1"/>
    <col min="8" max="26" width="11.42578125" customWidth="1"/>
  </cols>
  <sheetData>
    <row r="1" spans="1:26" s="42" customFormat="1" ht="15" customHeight="1" x14ac:dyDescent="0.25"/>
    <row r="2" spans="1:26" s="42" customFormat="1" ht="15" customHeight="1" x14ac:dyDescent="0.25"/>
    <row r="3" spans="1:26" s="42" customFormat="1" ht="15" customHeight="1" x14ac:dyDescent="0.25"/>
    <row r="4" spans="1:26" s="42" customFormat="1" ht="15" customHeight="1" x14ac:dyDescent="0.25"/>
    <row r="5" spans="1:26" s="42" customFormat="1" ht="15" customHeight="1" x14ac:dyDescent="0.25"/>
    <row r="6" spans="1:26" s="42" customFormat="1" ht="15" customHeight="1" x14ac:dyDescent="0.25"/>
    <row r="7" spans="1:26" ht="15.75" customHeight="1" x14ac:dyDescent="0.35">
      <c r="A7" s="369" t="s">
        <v>186</v>
      </c>
      <c r="B7" s="370"/>
      <c r="C7" s="370"/>
      <c r="D7" s="5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182</v>
      </c>
      <c r="B8" s="372"/>
      <c r="C8" s="372"/>
      <c r="D8" s="5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72"/>
      <c r="C9" s="372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83</v>
      </c>
      <c r="B10" s="372"/>
      <c r="C10" s="372"/>
      <c r="D10" s="5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1"/>
      <c r="B11" s="51"/>
      <c r="C11" s="50"/>
      <c r="D11" s="5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2"/>
      <c r="B12" s="76">
        <v>2023</v>
      </c>
      <c r="C12" s="261">
        <v>2022</v>
      </c>
      <c r="D12" s="5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3" t="s">
        <v>84</v>
      </c>
      <c r="B13" s="52"/>
      <c r="C13" s="262"/>
      <c r="D13" s="5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3" t="s">
        <v>85</v>
      </c>
      <c r="B14" s="54"/>
      <c r="C14" s="262"/>
      <c r="D14" s="5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5" t="s">
        <v>86</v>
      </c>
      <c r="B15" s="56">
        <v>1510223.77</v>
      </c>
      <c r="C15" s="65">
        <v>1869907</v>
      </c>
      <c r="D15" s="5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5" t="s">
        <v>87</v>
      </c>
      <c r="B16" s="56">
        <v>736159</v>
      </c>
      <c r="C16" s="65">
        <v>1427857</v>
      </c>
      <c r="D16" s="58"/>
      <c r="E16" s="1"/>
      <c r="F16" s="4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37" customFormat="1" ht="15.75" customHeight="1" x14ac:dyDescent="0.25">
      <c r="A17" s="55" t="s">
        <v>187</v>
      </c>
      <c r="B17" s="335">
        <v>8260</v>
      </c>
      <c r="C17" s="65">
        <v>4407</v>
      </c>
      <c r="D17" s="58"/>
      <c r="E17" s="1"/>
      <c r="F17" s="4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3" t="s">
        <v>88</v>
      </c>
      <c r="B18" s="336">
        <f>+B15+B16+B17</f>
        <v>2254642.77</v>
      </c>
      <c r="C18" s="337">
        <f>+C15+C16+C17</f>
        <v>3302171</v>
      </c>
      <c r="D18" s="5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3"/>
      <c r="B19" s="60"/>
      <c r="C19" s="264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3" t="s">
        <v>89</v>
      </c>
      <c r="B20" s="62"/>
      <c r="C20" s="265"/>
      <c r="D20" s="5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55" t="s">
        <v>90</v>
      </c>
      <c r="B21" s="59"/>
      <c r="C21" s="70"/>
      <c r="D21" s="5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5" t="s">
        <v>91</v>
      </c>
      <c r="B22" s="59"/>
      <c r="C22" s="70"/>
      <c r="D22" s="5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5" t="s">
        <v>92</v>
      </c>
      <c r="B23" s="59"/>
      <c r="C23" s="70"/>
      <c r="D23" s="5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5" t="s">
        <v>93</v>
      </c>
      <c r="B24" s="59"/>
      <c r="C24" s="70"/>
      <c r="D24" s="5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83" customFormat="1" ht="15.75" customHeight="1" x14ac:dyDescent="0.25">
      <c r="A25" s="64" t="s">
        <v>219</v>
      </c>
      <c r="B25" s="65">
        <v>8316207.879999999</v>
      </c>
      <c r="C25" s="65">
        <v>7318321</v>
      </c>
      <c r="D25" s="298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 x14ac:dyDescent="0.25">
      <c r="A26" s="64" t="s">
        <v>220</v>
      </c>
      <c r="B26" s="65">
        <f>+'NOTAS 7 AL 19'!D52</f>
        <v>0</v>
      </c>
      <c r="C26" s="65"/>
      <c r="D26" s="5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55" t="s">
        <v>94</v>
      </c>
      <c r="B27" s="59"/>
      <c r="C27" s="70"/>
      <c r="D27" s="5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3" t="s">
        <v>95</v>
      </c>
      <c r="B28" s="336">
        <f>SUM(B21:B27)</f>
        <v>8316207.879999999</v>
      </c>
      <c r="C28" s="337">
        <v>7318321</v>
      </c>
      <c r="D28" s="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3"/>
      <c r="B29" s="60"/>
      <c r="C29" s="264"/>
      <c r="D29" s="5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53" t="s">
        <v>210</v>
      </c>
      <c r="B30" s="331">
        <f>+B18+B28</f>
        <v>10570850.649999999</v>
      </c>
      <c r="C30" s="160">
        <f>+C18+C28</f>
        <v>10620492</v>
      </c>
      <c r="D30" s="5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158" customFormat="1" ht="15.75" customHeight="1" thickTop="1" x14ac:dyDescent="0.25">
      <c r="A31" s="53"/>
      <c r="B31" s="60"/>
      <c r="C31" s="264"/>
      <c r="D31" s="15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373" t="s">
        <v>96</v>
      </c>
      <c r="B32" s="66"/>
      <c r="C32" s="262"/>
      <c r="D32" s="5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8.25" hidden="1" customHeight="1" x14ac:dyDescent="0.25">
      <c r="A33" s="372"/>
      <c r="B33" s="67"/>
      <c r="C33" s="262"/>
      <c r="D33" s="5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55" t="s">
        <v>97</v>
      </c>
      <c r="B34" s="59"/>
      <c r="C34" s="262"/>
      <c r="D34" s="5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64" t="s">
        <v>221</v>
      </c>
      <c r="B35" s="57">
        <v>95000</v>
      </c>
      <c r="C35" s="65">
        <v>706001</v>
      </c>
      <c r="D35" s="5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55" t="s">
        <v>98</v>
      </c>
      <c r="B36" s="56"/>
      <c r="C36" s="65"/>
      <c r="D36" s="5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5" t="s">
        <v>99</v>
      </c>
      <c r="B37" s="56"/>
      <c r="C37" s="65"/>
      <c r="D37" s="5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0.75" hidden="1" customHeight="1" x14ac:dyDescent="0.25">
      <c r="A38" s="55"/>
      <c r="B38" s="56"/>
      <c r="C38" s="65"/>
      <c r="D38" s="5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.25" hidden="1" customHeight="1" x14ac:dyDescent="0.25">
      <c r="A39" s="64" t="s">
        <v>178</v>
      </c>
      <c r="B39" s="68">
        <f>B35+B38</f>
        <v>95000</v>
      </c>
      <c r="C39" s="65"/>
      <c r="D39" s="5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55" t="s">
        <v>100</v>
      </c>
      <c r="B40" s="59"/>
      <c r="C40" s="70"/>
      <c r="D40" s="5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5" t="s">
        <v>101</v>
      </c>
      <c r="B41" s="59"/>
      <c r="C41" s="70"/>
      <c r="D41" s="5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5" t="s">
        <v>102</v>
      </c>
      <c r="B42" s="59"/>
      <c r="C42" s="70"/>
      <c r="D42" s="5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5" t="s">
        <v>103</v>
      </c>
      <c r="B43" s="59"/>
      <c r="C43" s="70"/>
      <c r="D43" s="5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9" t="s">
        <v>104</v>
      </c>
      <c r="B44" s="134">
        <f>+B35</f>
        <v>95000</v>
      </c>
      <c r="C44" s="263">
        <f>SUM(C34:C43)</f>
        <v>706001</v>
      </c>
      <c r="D44" s="5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5" customFormat="1" ht="15.75" customHeight="1" x14ac:dyDescent="0.25">
      <c r="A45" s="69"/>
      <c r="B45" s="61"/>
      <c r="C45" s="264"/>
      <c r="D45" s="5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3" t="s">
        <v>105</v>
      </c>
      <c r="B46" s="60"/>
      <c r="C46" s="264"/>
      <c r="D46" s="50"/>
      <c r="E46" s="297"/>
      <c r="F46" s="7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53" t="s">
        <v>105</v>
      </c>
      <c r="B47" s="66"/>
      <c r="C47" s="262"/>
      <c r="D47" s="5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5" t="s">
        <v>106</v>
      </c>
      <c r="B48" s="59">
        <v>0</v>
      </c>
      <c r="C48" s="262"/>
      <c r="D48" s="5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5" t="s">
        <v>107</v>
      </c>
      <c r="B49" s="59">
        <v>0</v>
      </c>
      <c r="C49" s="262"/>
      <c r="D49" s="5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5" t="s">
        <v>108</v>
      </c>
      <c r="B50" s="59">
        <v>0</v>
      </c>
      <c r="C50" s="262"/>
      <c r="D50" s="5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5" t="s">
        <v>109</v>
      </c>
      <c r="B51" s="59">
        <v>0</v>
      </c>
      <c r="C51" s="262"/>
      <c r="D51" s="5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5" t="s">
        <v>110</v>
      </c>
      <c r="B52" s="59">
        <v>0</v>
      </c>
      <c r="C52" s="262"/>
      <c r="D52" s="5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5" t="s">
        <v>111</v>
      </c>
      <c r="B53" s="59">
        <v>0</v>
      </c>
      <c r="C53" s="262"/>
      <c r="D53" s="5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3" t="s">
        <v>112</v>
      </c>
      <c r="B54" s="60">
        <f>SUM(B48:B53)</f>
        <v>0</v>
      </c>
      <c r="C54" s="262"/>
      <c r="D54" s="5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4" t="s">
        <v>222</v>
      </c>
      <c r="B55" s="70">
        <v>1220158</v>
      </c>
      <c r="C55" s="266">
        <v>99041</v>
      </c>
      <c r="D55" s="5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53" t="s">
        <v>183</v>
      </c>
      <c r="B56" s="133">
        <f>B44+B55</f>
        <v>1315158</v>
      </c>
      <c r="C56" s="267">
        <v>805042</v>
      </c>
      <c r="D56" s="5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s="35" customFormat="1" ht="16.5" customHeight="1" x14ac:dyDescent="0.25">
      <c r="A57" s="53"/>
      <c r="B57" s="60"/>
      <c r="C57" s="262"/>
      <c r="D57" s="5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3" t="s">
        <v>281</v>
      </c>
      <c r="B58" s="66"/>
      <c r="C58" s="262"/>
      <c r="D58" s="5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5" t="s">
        <v>113</v>
      </c>
      <c r="B59" s="56">
        <v>5707203</v>
      </c>
      <c r="C59" s="65">
        <v>5707203</v>
      </c>
      <c r="D59" s="50"/>
      <c r="E59" s="1"/>
      <c r="F59" s="3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4" t="s">
        <v>114</v>
      </c>
      <c r="B60" s="48">
        <v>3127550.14</v>
      </c>
      <c r="C60" s="65">
        <v>-294010.28999999998</v>
      </c>
      <c r="D60" s="50"/>
      <c r="E60" s="2">
        <f>B65-B30</f>
        <v>0</v>
      </c>
      <c r="F60" s="3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4" t="s">
        <v>115</v>
      </c>
      <c r="B61" s="260">
        <v>420939.51</v>
      </c>
      <c r="C61" s="161">
        <v>4402257</v>
      </c>
      <c r="D61" s="50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" hidden="1" customHeight="1" x14ac:dyDescent="0.25">
      <c r="A62" s="55"/>
      <c r="B62" s="59"/>
      <c r="C62" s="70"/>
      <c r="D62" s="5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71" t="s">
        <v>116</v>
      </c>
      <c r="B63" s="336">
        <f>SUM(B59:B62)</f>
        <v>9255692.6500000004</v>
      </c>
      <c r="C63" s="337">
        <f>SUM(C59:C62)</f>
        <v>9815449.7100000009</v>
      </c>
      <c r="D63" s="60">
        <f t="shared" ref="D63" si="0">SUM(D59:D62)</f>
        <v>0</v>
      </c>
      <c r="E63" s="139"/>
      <c r="F63" s="25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5">
      <c r="A64" s="71"/>
      <c r="B64" s="60"/>
      <c r="C64" s="268"/>
      <c r="D64" s="7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Bot="1" x14ac:dyDescent="0.3">
      <c r="A65" s="73" t="s">
        <v>117</v>
      </c>
      <c r="B65" s="160">
        <f>B63+B56</f>
        <v>10570850.65</v>
      </c>
      <c r="C65" s="160">
        <v>10620492</v>
      </c>
      <c r="D65" s="50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Top="1" x14ac:dyDescent="0.25">
      <c r="A66" s="50"/>
      <c r="B66" s="63"/>
      <c r="C66" s="63"/>
      <c r="D66" s="5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0"/>
      <c r="B67" s="74"/>
      <c r="C67" s="50"/>
      <c r="D67" s="50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75" t="s">
        <v>118</v>
      </c>
      <c r="B68" s="50"/>
      <c r="C68" s="50"/>
      <c r="D68" s="5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/>
      <c r="B69" s="50"/>
      <c r="C69" s="63"/>
      <c r="D69" s="50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63"/>
      <c r="C70" s="50"/>
      <c r="D70" s="50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57" t="s">
        <v>206</v>
      </c>
      <c r="B72" s="368" t="s">
        <v>207</v>
      </c>
      <c r="C72" s="36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5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57" t="s">
        <v>208</v>
      </c>
      <c r="B76" s="368" t="s">
        <v>209</v>
      </c>
      <c r="C76" s="36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7">
    <mergeCell ref="B76:C76"/>
    <mergeCell ref="A7:C7"/>
    <mergeCell ref="A8:C8"/>
    <mergeCell ref="A9:C9"/>
    <mergeCell ref="A10:C10"/>
    <mergeCell ref="A32:A33"/>
    <mergeCell ref="B72:C72"/>
  </mergeCells>
  <pageMargins left="0.70866141732283472" right="0.70866141732283472" top="0.74803149606299213" bottom="0.74803149606299213" header="0" footer="0"/>
  <pageSetup paperSize="5" scale="75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tabSelected="1" view="pageBreakPreview" zoomScaleNormal="110" zoomScaleSheetLayoutView="100" workbookViewId="0">
      <selection activeCell="A9" sqref="A9:D9"/>
    </sheetView>
  </sheetViews>
  <sheetFormatPr baseColWidth="10" defaultColWidth="14.42578125" defaultRowHeight="15" customHeight="1" x14ac:dyDescent="0.25"/>
  <cols>
    <col min="1" max="1" width="48.5703125" customWidth="1"/>
    <col min="2" max="2" width="18.85546875" customWidth="1"/>
    <col min="3" max="3" width="0.140625" customWidth="1"/>
    <col min="4" max="4" width="19.28515625" customWidth="1"/>
    <col min="5" max="5" width="18.140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69" t="s">
        <v>186</v>
      </c>
      <c r="B7" s="375"/>
      <c r="C7" s="375"/>
      <c r="D7" s="375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371" t="s">
        <v>147</v>
      </c>
      <c r="B8" s="372"/>
      <c r="C8" s="372"/>
      <c r="D8" s="372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371" t="s">
        <v>240</v>
      </c>
      <c r="B9" s="372"/>
      <c r="C9" s="372"/>
      <c r="D9" s="372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376" t="s">
        <v>0</v>
      </c>
      <c r="B10" s="372"/>
      <c r="C10" s="372"/>
      <c r="D10" s="372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84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/>
      <c r="D13" s="85">
        <v>2022</v>
      </c>
      <c r="E13" s="84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282</v>
      </c>
      <c r="B14" s="84"/>
      <c r="C14" s="84"/>
      <c r="D14" s="84"/>
      <c r="E14" s="72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7" t="s">
        <v>62</v>
      </c>
      <c r="B15" s="88"/>
      <c r="C15" s="88"/>
      <c r="D15" s="88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7" t="s">
        <v>119</v>
      </c>
      <c r="B16" s="89"/>
      <c r="C16" s="89"/>
      <c r="D16" s="89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271" t="s">
        <v>120</v>
      </c>
      <c r="B17" s="47">
        <v>16555002</v>
      </c>
      <c r="C17" s="90">
        <v>22119887</v>
      </c>
      <c r="D17" s="91">
        <v>30000000</v>
      </c>
      <c r="E17" s="257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87" t="s">
        <v>121</v>
      </c>
      <c r="B18" s="90"/>
      <c r="C18" s="90"/>
      <c r="D18" s="91"/>
      <c r="E18" s="84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35" customFormat="1" ht="15.75" customHeight="1" x14ac:dyDescent="0.25">
      <c r="A19" s="92" t="s">
        <v>204</v>
      </c>
      <c r="B19" s="136">
        <v>125000</v>
      </c>
      <c r="C19" s="135"/>
      <c r="D19" s="136">
        <v>104373.68</v>
      </c>
      <c r="E19" s="84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86" t="s">
        <v>205</v>
      </c>
      <c r="B20" s="137">
        <f>SUM(B17:B19)</f>
        <v>16680002</v>
      </c>
      <c r="C20" s="138">
        <f t="shared" ref="C20" si="0">SUM(C15:C18)</f>
        <v>22119887</v>
      </c>
      <c r="D20" s="137">
        <v>30104373.68</v>
      </c>
      <c r="E20" s="84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93"/>
      <c r="B21" s="94"/>
      <c r="C21" s="94"/>
      <c r="D21" s="95"/>
      <c r="E21" s="94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86" t="s">
        <v>283</v>
      </c>
      <c r="B22" s="94"/>
      <c r="C22" s="94"/>
      <c r="D22" s="95"/>
      <c r="E22" s="8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87" t="s">
        <v>122</v>
      </c>
      <c r="B23" s="90">
        <v>-9622280.6899999995</v>
      </c>
      <c r="C23" s="90">
        <v>11292835</v>
      </c>
      <c r="D23" s="91">
        <v>20614568.210000001</v>
      </c>
      <c r="E23" s="8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87" t="s">
        <v>123</v>
      </c>
      <c r="B24" s="90"/>
      <c r="C24" s="90"/>
      <c r="D24" s="91"/>
      <c r="E24" s="8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37" customFormat="1" ht="15.75" customHeight="1" x14ac:dyDescent="0.25">
      <c r="A25" s="97" t="s">
        <v>188</v>
      </c>
      <c r="B25" s="90"/>
      <c r="C25" s="90"/>
      <c r="D25" s="91">
        <v>80000</v>
      </c>
      <c r="E25" s="84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87" t="s">
        <v>124</v>
      </c>
      <c r="B26" s="90">
        <v>-736159</v>
      </c>
      <c r="C26" s="90">
        <v>3703884</v>
      </c>
      <c r="D26" s="91">
        <v>2330970.92</v>
      </c>
      <c r="E26" s="9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310" customFormat="1" ht="15.75" customHeight="1" x14ac:dyDescent="0.25">
      <c r="A27" s="308" t="s">
        <v>125</v>
      </c>
      <c r="B27" s="339">
        <v>-123112.72</v>
      </c>
      <c r="C27" s="312">
        <v>423908</v>
      </c>
      <c r="D27" s="313">
        <v>2459293.5099999998</v>
      </c>
      <c r="E27" s="309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</row>
    <row r="28" spans="1:26" ht="15.75" hidden="1" customHeight="1" x14ac:dyDescent="0.25">
      <c r="A28" s="87" t="s">
        <v>126</v>
      </c>
      <c r="B28" s="90"/>
      <c r="C28" s="90"/>
      <c r="D28" s="91"/>
      <c r="E28" s="8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87" t="s">
        <v>81</v>
      </c>
      <c r="B29" s="90">
        <v>-3070899.45</v>
      </c>
      <c r="C29" s="90">
        <v>6751071</v>
      </c>
      <c r="D29" s="91">
        <v>4913551.33</v>
      </c>
      <c r="E29" s="25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87" t="s">
        <v>80</v>
      </c>
      <c r="B30" s="90"/>
      <c r="C30" s="90"/>
      <c r="D30" s="91"/>
      <c r="E30" s="8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96" t="s">
        <v>127</v>
      </c>
      <c r="B31" s="138">
        <f>SUM(B23:B30)</f>
        <v>-13552451.859999999</v>
      </c>
      <c r="C31" s="138">
        <f t="shared" ref="C31:D31" si="1">SUM(C23:C30)</f>
        <v>22171698</v>
      </c>
      <c r="D31" s="138">
        <f t="shared" si="1"/>
        <v>30398383.969999999</v>
      </c>
      <c r="E31" s="8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93"/>
      <c r="B32" s="94"/>
      <c r="C32" s="94"/>
      <c r="D32" s="95"/>
      <c r="E32" s="84"/>
      <c r="F32" s="3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275" t="s">
        <v>181</v>
      </c>
      <c r="B33" s="276">
        <f>+B20+B31</f>
        <v>3127550.1400000006</v>
      </c>
      <c r="C33" s="155">
        <f t="shared" ref="C33" si="2">+C20-C31</f>
        <v>-51811</v>
      </c>
      <c r="D33" s="156">
        <f>+D20-D31</f>
        <v>-294010.28999999911</v>
      </c>
      <c r="E33" s="8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93"/>
      <c r="B34" s="94"/>
      <c r="C34" s="94"/>
      <c r="D34" s="94"/>
      <c r="E34" s="104">
        <f>+E35+E36+E37+E41</f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69" t="s">
        <v>275</v>
      </c>
      <c r="B35" s="98"/>
      <c r="C35" s="98"/>
      <c r="D35" s="98"/>
      <c r="E35" s="8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57"/>
      <c r="B37" s="1"/>
      <c r="C37" s="1"/>
      <c r="D37" s="3"/>
      <c r="E37" s="104">
        <f>+E38+E39+E40+E44</f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57" t="s">
        <v>206</v>
      </c>
      <c r="B38" s="368" t="s">
        <v>212</v>
      </c>
      <c r="C38" s="374"/>
      <c r="D38" s="1"/>
      <c r="E38" s="10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04">
        <f>+D40+D41+D42+D46</f>
        <v>0</v>
      </c>
      <c r="E39" s="8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57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57" t="s">
        <v>208</v>
      </c>
      <c r="B42" s="368" t="s">
        <v>209</v>
      </c>
      <c r="C42" s="374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04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opLeftCell="A4" workbookViewId="0">
      <selection activeCell="A9" sqref="A9:F9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3" width="20.85546875" customWidth="1"/>
    <col min="4" max="4" width="21.5703125" customWidth="1"/>
    <col min="5" max="5" width="22.5703125" customWidth="1"/>
    <col min="6" max="6" width="22" customWidth="1"/>
    <col min="7" max="7" width="11.42578125" customWidth="1"/>
    <col min="8" max="8" width="21.5703125" customWidth="1"/>
    <col min="9" max="9" width="17.42578125" customWidth="1"/>
    <col min="10" max="10" width="13.42578125" customWidth="1"/>
    <col min="11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8.75" customHeight="1" x14ac:dyDescent="0.35">
      <c r="A7" s="378" t="s">
        <v>199</v>
      </c>
      <c r="B7" s="375"/>
      <c r="C7" s="375"/>
      <c r="D7" s="375"/>
      <c r="E7" s="375"/>
      <c r="F7" s="37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379" t="s">
        <v>185</v>
      </c>
      <c r="B8" s="372"/>
      <c r="C8" s="372"/>
      <c r="D8" s="372"/>
      <c r="E8" s="372"/>
      <c r="F8" s="372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379" t="s">
        <v>241</v>
      </c>
      <c r="B9" s="372"/>
      <c r="C9" s="372"/>
      <c r="D9" s="372"/>
      <c r="E9" s="372"/>
      <c r="F9" s="372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379" t="s">
        <v>54</v>
      </c>
      <c r="B10" s="372"/>
      <c r="C10" s="372"/>
      <c r="D10" s="372"/>
      <c r="E10" s="372"/>
      <c r="F10" s="372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380" t="s">
        <v>55</v>
      </c>
      <c r="B11" s="372"/>
      <c r="C11" s="372"/>
      <c r="D11" s="372"/>
      <c r="E11" s="372"/>
      <c r="F11" s="372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377" t="s">
        <v>56</v>
      </c>
      <c r="B13" s="372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02">
        <v>1</v>
      </c>
      <c r="B14" s="103" t="s">
        <v>61</v>
      </c>
      <c r="C14" s="299">
        <v>34500000</v>
      </c>
      <c r="D14" s="104">
        <v>16680002</v>
      </c>
      <c r="E14" s="105">
        <f t="shared" ref="E14:E36" si="0">+D14/C14</f>
        <v>0.48347831884057973</v>
      </c>
      <c r="F14" s="106">
        <f>+C14-D14</f>
        <v>17819998</v>
      </c>
      <c r="G14" s="8"/>
      <c r="H14" s="8"/>
      <c r="I14" s="4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300"/>
      <c r="D15" s="109"/>
      <c r="E15" s="105" t="e">
        <f t="shared" si="0"/>
        <v>#DIV/0!</v>
      </c>
      <c r="F15" s="106">
        <f t="shared" ref="F15:F23" si="1">+C15-D15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300"/>
      <c r="D16" s="109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300"/>
      <c r="D17" s="109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07">
        <v>1.4</v>
      </c>
      <c r="B18" s="108" t="s">
        <v>65</v>
      </c>
      <c r="C18" s="300">
        <v>16555002</v>
      </c>
      <c r="D18" s="104">
        <v>16555002</v>
      </c>
      <c r="E18" s="105">
        <f t="shared" si="0"/>
        <v>1</v>
      </c>
      <c r="F18" s="106">
        <f t="shared" si="1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00"/>
      <c r="D19" s="109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07">
        <v>1.6</v>
      </c>
      <c r="B20" s="108" t="s">
        <v>67</v>
      </c>
      <c r="C20" s="300">
        <v>125000</v>
      </c>
      <c r="D20" s="109">
        <v>125000</v>
      </c>
      <c r="E20" s="105"/>
      <c r="F20" s="106">
        <f t="shared" si="1"/>
        <v>0</v>
      </c>
      <c r="G20" s="8"/>
      <c r="H20" s="49"/>
      <c r="I20" s="4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07">
        <v>1.7</v>
      </c>
      <c r="B21" s="108" t="s">
        <v>68</v>
      </c>
      <c r="C21" s="300"/>
      <c r="D21" s="109"/>
      <c r="E21" s="105" t="e">
        <f t="shared" si="0"/>
        <v>#DIV/0!</v>
      </c>
      <c r="F21" s="106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07">
        <v>1.8</v>
      </c>
      <c r="B22" s="108" t="s">
        <v>69</v>
      </c>
      <c r="C22" s="300"/>
      <c r="D22" s="109"/>
      <c r="E22" s="105" t="e">
        <f t="shared" si="0"/>
        <v>#DIV/0!</v>
      </c>
      <c r="F22" s="106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07">
        <v>1.9</v>
      </c>
      <c r="B23" s="108" t="s">
        <v>70</v>
      </c>
      <c r="C23" s="300"/>
      <c r="D23" s="109"/>
      <c r="E23" s="105" t="e">
        <f t="shared" si="0"/>
        <v>#DIV/0!</v>
      </c>
      <c r="F23" s="106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02">
        <v>2</v>
      </c>
      <c r="B24" s="103" t="s">
        <v>71</v>
      </c>
      <c r="C24" s="299">
        <f>+C25+C26+C27+C31</f>
        <v>34485000</v>
      </c>
      <c r="D24" s="104">
        <f>+D25+D26+D27+D31</f>
        <v>14550339.09</v>
      </c>
      <c r="E24" s="105">
        <f t="shared" si="0"/>
        <v>0.42193240800347975</v>
      </c>
      <c r="F24" s="106">
        <f>SUM(F25:F35)</f>
        <v>8604341.5500000007</v>
      </c>
      <c r="G24" s="8"/>
      <c r="H24" s="8"/>
      <c r="I24" s="45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07">
        <v>2.1</v>
      </c>
      <c r="B25" s="108" t="s">
        <v>72</v>
      </c>
      <c r="C25" s="301">
        <v>20952600</v>
      </c>
      <c r="D25" s="110">
        <v>9622280.6400000006</v>
      </c>
      <c r="E25" s="105">
        <f t="shared" si="0"/>
        <v>0.45924041121388282</v>
      </c>
      <c r="F25" s="10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07">
        <v>2.2000000000000002</v>
      </c>
      <c r="B26" s="111" t="s">
        <v>73</v>
      </c>
      <c r="C26" s="302">
        <v>7802980</v>
      </c>
      <c r="D26" s="234">
        <v>3070899.45</v>
      </c>
      <c r="E26" s="105">
        <f t="shared" si="0"/>
        <v>0.39355469961476258</v>
      </c>
      <c r="F26" s="106">
        <f t="shared" ref="F26:F35" si="2">+C26-D26</f>
        <v>4732080.55</v>
      </c>
      <c r="G26" s="8"/>
      <c r="H26" s="8"/>
      <c r="I26" s="8"/>
      <c r="J26" s="4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07">
        <v>2.2999999999999998</v>
      </c>
      <c r="B27" s="111" t="s">
        <v>74</v>
      </c>
      <c r="C27" s="47">
        <v>2924420</v>
      </c>
      <c r="D27" s="113">
        <v>736159</v>
      </c>
      <c r="E27" s="105">
        <f t="shared" si="0"/>
        <v>0.25172820593485201</v>
      </c>
      <c r="F27" s="106">
        <f t="shared" si="2"/>
        <v>2188261</v>
      </c>
      <c r="G27" s="8"/>
      <c r="H27" s="49"/>
      <c r="I27" s="8"/>
      <c r="J27" s="4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2.4</v>
      </c>
      <c r="B28" s="111" t="s">
        <v>75</v>
      </c>
      <c r="C28" s="300"/>
      <c r="D28" s="113"/>
      <c r="E28" s="105" t="e">
        <f t="shared" si="0"/>
        <v>#DIV/0!</v>
      </c>
      <c r="F28" s="106">
        <f t="shared" si="2"/>
        <v>0</v>
      </c>
      <c r="G28" s="8"/>
      <c r="H28" s="8"/>
      <c r="I28" s="8"/>
      <c r="J28" s="47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2.5</v>
      </c>
      <c r="B29" s="111" t="s">
        <v>76</v>
      </c>
      <c r="C29" s="300"/>
      <c r="D29" s="113"/>
      <c r="E29" s="105" t="e">
        <f t="shared" si="0"/>
        <v>#DIV/0!</v>
      </c>
      <c r="F29" s="106">
        <f t="shared" si="2"/>
        <v>0</v>
      </c>
      <c r="G29" s="8"/>
      <c r="H29" s="8"/>
      <c r="I29" s="8"/>
      <c r="J29" s="47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1" customFormat="1" ht="18.75" customHeight="1" x14ac:dyDescent="0.3">
      <c r="A30" s="107">
        <v>2.4</v>
      </c>
      <c r="B30" s="111" t="s">
        <v>203</v>
      </c>
      <c r="C30" s="300"/>
      <c r="D30" s="113"/>
      <c r="E30" s="105"/>
      <c r="F30" s="106"/>
      <c r="G30" s="8"/>
      <c r="H30" s="8"/>
      <c r="I30" s="8"/>
      <c r="J30" s="4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07">
        <v>2.6</v>
      </c>
      <c r="B31" s="111" t="s">
        <v>77</v>
      </c>
      <c r="C31" s="300">
        <v>2805000</v>
      </c>
      <c r="D31" s="113">
        <v>1121000</v>
      </c>
      <c r="E31" s="105">
        <f t="shared" si="0"/>
        <v>0.39964349376114083</v>
      </c>
      <c r="F31" s="106">
        <f t="shared" si="2"/>
        <v>1684000</v>
      </c>
      <c r="G31" s="8"/>
      <c r="H31" s="8"/>
      <c r="I31" s="8"/>
      <c r="J31" s="4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07">
        <v>2.7</v>
      </c>
      <c r="B32" s="111" t="s">
        <v>78</v>
      </c>
      <c r="C32" s="300"/>
      <c r="D32" s="109"/>
      <c r="E32" s="105" t="e">
        <f t="shared" si="0"/>
        <v>#DIV/0!</v>
      </c>
      <c r="F32" s="106">
        <f t="shared" si="2"/>
        <v>0</v>
      </c>
      <c r="G32" s="8"/>
      <c r="H32" s="8"/>
      <c r="I32" s="8"/>
      <c r="J32" s="46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07">
        <v>2.8</v>
      </c>
      <c r="B33" s="111" t="s">
        <v>79</v>
      </c>
      <c r="C33" s="300"/>
      <c r="D33" s="109"/>
      <c r="E33" s="105" t="e">
        <f t="shared" si="0"/>
        <v>#DIV/0!</v>
      </c>
      <c r="F33" s="106">
        <f t="shared" si="2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07">
        <v>2.9</v>
      </c>
      <c r="B34" s="111" t="s">
        <v>80</v>
      </c>
      <c r="C34" s="300"/>
      <c r="D34" s="109"/>
      <c r="E34" s="105" t="e">
        <f t="shared" si="0"/>
        <v>#DIV/0!</v>
      </c>
      <c r="F34" s="106">
        <f t="shared" si="2"/>
        <v>0</v>
      </c>
      <c r="G34" s="8"/>
      <c r="H34" s="8"/>
      <c r="I34" s="8"/>
      <c r="J34" s="16">
        <f t="shared" ref="J34" si="3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07">
        <v>2.1</v>
      </c>
      <c r="B35" s="111" t="s">
        <v>81</v>
      </c>
      <c r="C35" s="300">
        <v>0</v>
      </c>
      <c r="D35" s="109">
        <v>0</v>
      </c>
      <c r="E35" s="105" t="e">
        <f t="shared" si="0"/>
        <v>#DIV/0!</v>
      </c>
      <c r="F35" s="106">
        <f t="shared" si="2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14"/>
      <c r="B36" s="115" t="s">
        <v>82</v>
      </c>
      <c r="C36" s="303">
        <f>+C14-C24</f>
        <v>15000</v>
      </c>
      <c r="D36" s="116">
        <f>+D14-D24</f>
        <v>2129662.91</v>
      </c>
      <c r="E36" s="105">
        <f t="shared" si="0"/>
        <v>141.97752733333334</v>
      </c>
      <c r="F36" s="117">
        <f>+C36-D36</f>
        <v>-2114662.91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14"/>
      <c r="B37" s="118"/>
      <c r="C37" s="117"/>
      <c r="D37" s="117"/>
      <c r="E37" s="119"/>
      <c r="F37" s="120"/>
      <c r="G37" s="8"/>
      <c r="H37" s="4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21"/>
      <c r="B38" s="118"/>
      <c r="C38" s="116"/>
      <c r="D38" s="120"/>
      <c r="E38" s="120"/>
      <c r="F38" s="12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12"/>
      <c r="B39" s="157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57" t="s">
        <v>206</v>
      </c>
      <c r="C40" s="368"/>
      <c r="D40" s="368"/>
      <c r="E40" s="368" t="s">
        <v>207</v>
      </c>
      <c r="F40" s="368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57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57" t="s">
        <v>208</v>
      </c>
      <c r="C44" s="368"/>
      <c r="D44" s="368"/>
      <c r="E44" s="368" t="s">
        <v>209</v>
      </c>
      <c r="F44" s="368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7:F7"/>
    <mergeCell ref="A8:F8"/>
    <mergeCell ref="A9:F9"/>
    <mergeCell ref="A10:F10"/>
    <mergeCell ref="A11:F11"/>
    <mergeCell ref="A13:B13"/>
    <mergeCell ref="C40:D40"/>
    <mergeCell ref="E40:F40"/>
    <mergeCell ref="C44:D44"/>
    <mergeCell ref="E44:F44"/>
  </mergeCells>
  <pageMargins left="0.70866141732283472" right="0.70866141732283472" top="0.74803149606299213" bottom="0.74803149606299213" header="0" footer="0"/>
  <pageSetup scale="8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13" zoomScaleNormal="100" zoomScaleSheetLayoutView="100" workbookViewId="0">
      <selection activeCell="F31" sqref="F31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15.28515625" customWidth="1"/>
    <col min="5" max="5" width="19.140625" customWidth="1"/>
    <col min="6" max="6" width="27" customWidth="1"/>
    <col min="7" max="7" width="16.710937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78" t="s">
        <v>199</v>
      </c>
      <c r="B7" s="375"/>
      <c r="C7" s="375"/>
      <c r="D7" s="375"/>
      <c r="E7" s="375"/>
      <c r="F7" s="37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43</v>
      </c>
      <c r="B8" s="381"/>
      <c r="C8" s="381"/>
      <c r="D8" s="381"/>
      <c r="E8" s="381"/>
      <c r="F8" s="38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81"/>
      <c r="C9" s="381"/>
      <c r="D9" s="381"/>
      <c r="E9" s="381"/>
      <c r="F9" s="38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0</v>
      </c>
      <c r="B10" s="381"/>
      <c r="C10" s="381"/>
      <c r="D10" s="381"/>
      <c r="E10" s="381"/>
      <c r="F10" s="38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2"/>
      <c r="B11" s="52"/>
      <c r="C11" s="55"/>
      <c r="D11" s="52"/>
      <c r="E11" s="52"/>
      <c r="F11" s="5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7"/>
      <c r="B12" s="128" t="s">
        <v>44</v>
      </c>
      <c r="C12" s="128" t="s">
        <v>45</v>
      </c>
      <c r="D12" s="128" t="s">
        <v>46</v>
      </c>
      <c r="E12" s="128" t="s">
        <v>47</v>
      </c>
      <c r="F12" s="129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283" customFormat="1" ht="15.75" customHeight="1" x14ac:dyDescent="0.25">
      <c r="A13" s="73" t="s">
        <v>277</v>
      </c>
      <c r="B13" s="280">
        <v>5707203</v>
      </c>
      <c r="C13" s="280"/>
      <c r="D13" s="280"/>
      <c r="E13" s="322">
        <v>3548867</v>
      </c>
      <c r="F13" s="281">
        <f>SUM(B13:E13)</f>
        <v>9256070</v>
      </c>
      <c r="G13" s="282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s="283" customFormat="1" ht="15.75" customHeight="1" x14ac:dyDescent="0.25">
      <c r="A14" s="64" t="s">
        <v>49</v>
      </c>
      <c r="B14" s="284"/>
      <c r="C14" s="285"/>
      <c r="D14" s="286"/>
      <c r="E14" s="323"/>
      <c r="F14" s="281">
        <f t="shared" ref="F14:F16" si="0">SUM(B14:E14)</f>
        <v>0</v>
      </c>
      <c r="G14" s="282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s="283" customFormat="1" ht="15.75" customHeight="1" x14ac:dyDescent="0.25">
      <c r="A15" s="64" t="s">
        <v>50</v>
      </c>
      <c r="B15" s="284"/>
      <c r="C15" s="284"/>
      <c r="D15" s="286"/>
      <c r="E15" s="324"/>
      <c r="F15" s="281">
        <f t="shared" si="0"/>
        <v>0</v>
      </c>
      <c r="G15" s="282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s="283" customFormat="1" ht="15.75" customHeight="1" x14ac:dyDescent="0.25">
      <c r="A16" s="287" t="s">
        <v>51</v>
      </c>
      <c r="B16" s="285"/>
      <c r="C16" s="284"/>
      <c r="D16" s="288"/>
      <c r="E16" s="324">
        <v>853390</v>
      </c>
      <c r="F16" s="326">
        <f t="shared" si="0"/>
        <v>853390</v>
      </c>
      <c r="G16" s="282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s="283" customFormat="1" ht="15.75" customHeight="1" x14ac:dyDescent="0.25">
      <c r="A17" s="287" t="s">
        <v>52</v>
      </c>
      <c r="B17" s="289"/>
      <c r="C17" s="289"/>
      <c r="D17" s="289"/>
      <c r="E17" s="325">
        <v>-294010.28999999998</v>
      </c>
      <c r="F17" s="327">
        <f>SUM(E17)</f>
        <v>-294010.28999999998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283" customFormat="1" ht="15.75" customHeight="1" x14ac:dyDescent="0.25">
      <c r="A18" s="73" t="s">
        <v>177</v>
      </c>
      <c r="B18" s="280">
        <f>SUM(B13:B17)</f>
        <v>5707203</v>
      </c>
      <c r="C18" s="280"/>
      <c r="D18" s="280"/>
      <c r="E18" s="322">
        <f>SUM(E13:E17)</f>
        <v>4108246.71</v>
      </c>
      <c r="F18" s="281">
        <f>SUM(F13:F17)</f>
        <v>9815449.7100000009</v>
      </c>
      <c r="G18" s="290"/>
      <c r="H18" s="291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</row>
    <row r="19" spans="1:26" ht="15.75" customHeight="1" x14ac:dyDescent="0.25">
      <c r="A19" s="53"/>
      <c r="B19" s="78"/>
      <c r="C19" s="78"/>
      <c r="D19" s="78"/>
      <c r="E19" s="78"/>
      <c r="F19" s="122"/>
      <c r="G19" s="3"/>
      <c r="H19" s="139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4" t="s">
        <v>49</v>
      </c>
      <c r="B20" s="123"/>
      <c r="C20" s="123"/>
      <c r="D20" s="123"/>
      <c r="E20" s="123"/>
      <c r="F20" s="122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4" t="s">
        <v>50</v>
      </c>
      <c r="B21" s="123"/>
      <c r="C21" s="123"/>
      <c r="D21" s="123"/>
      <c r="E21" s="123"/>
      <c r="F21" s="122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4" t="s">
        <v>53</v>
      </c>
      <c r="B22" s="123"/>
      <c r="C22" s="123"/>
      <c r="D22" s="123"/>
      <c r="E22" s="123"/>
      <c r="F22" s="122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24" t="s">
        <v>51</v>
      </c>
      <c r="B23" s="83"/>
      <c r="C23" s="123"/>
      <c r="D23" s="123"/>
      <c r="E23" s="123">
        <v>-3687307.2</v>
      </c>
      <c r="F23" s="328">
        <f>SUM(C23:E23)</f>
        <v>-3687307.2</v>
      </c>
      <c r="G23" s="7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24" t="s">
        <v>52</v>
      </c>
      <c r="B24" s="130"/>
      <c r="C24" s="131"/>
      <c r="D24" s="116"/>
      <c r="E24" s="285">
        <v>3127550.1400000006</v>
      </c>
      <c r="F24" s="329">
        <f>SUM(E24)</f>
        <v>3127550.1400000006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53" t="s">
        <v>274</v>
      </c>
      <c r="B25" s="132">
        <f>B18</f>
        <v>5707203</v>
      </c>
      <c r="C25" s="132"/>
      <c r="D25" s="132"/>
      <c r="E25" s="132">
        <f>+E18+E23+E24</f>
        <v>3548489.6500000004</v>
      </c>
      <c r="F25" s="330">
        <f>SUM(F18:F24)</f>
        <v>9255692.6500000022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3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3"/>
      <c r="B27" s="125"/>
      <c r="C27" s="250"/>
      <c r="D27" s="125"/>
      <c r="E27" s="125"/>
      <c r="F27" s="126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3"/>
      <c r="D28" s="116"/>
      <c r="E28" s="116"/>
      <c r="F28" s="33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83"/>
      <c r="D29" s="74"/>
      <c r="E29" s="83"/>
      <c r="F29" s="15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7"/>
      <c r="B30" s="1"/>
      <c r="C30" s="1"/>
      <c r="D30" s="1"/>
      <c r="E30" s="1"/>
      <c r="F30" s="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57" t="s">
        <v>206</v>
      </c>
      <c r="B31" s="368"/>
      <c r="C31" s="368"/>
      <c r="D31" s="368" t="s">
        <v>207</v>
      </c>
      <c r="E31" s="36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5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57" t="s">
        <v>208</v>
      </c>
      <c r="B35" s="368"/>
      <c r="C35" s="368"/>
      <c r="D35" s="368" t="s">
        <v>209</v>
      </c>
      <c r="E35" s="36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3" zoomScaleNormal="100" zoomScaleSheetLayoutView="100" workbookViewId="0">
      <selection activeCell="D64" sqref="D64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24.85546875" customWidth="1"/>
    <col min="6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35">
      <c r="D5" s="294" t="s">
        <v>278</v>
      </c>
    </row>
    <row r="6" spans="1:26" s="82" customFormat="1" ht="15" customHeight="1" x14ac:dyDescent="0.25"/>
    <row r="7" spans="1:26" ht="15.75" customHeight="1" x14ac:dyDescent="0.25">
      <c r="A7" s="382" t="s">
        <v>186</v>
      </c>
      <c r="B7" s="382"/>
      <c r="C7" s="382"/>
      <c r="D7" s="38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83" t="s">
        <v>1</v>
      </c>
      <c r="B8" s="372"/>
      <c r="C8" s="372"/>
      <c r="D8" s="37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83" t="s">
        <v>240</v>
      </c>
      <c r="B9" s="372"/>
      <c r="C9" s="372"/>
      <c r="D9" s="37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83" t="s">
        <v>0</v>
      </c>
      <c r="B10" s="372"/>
      <c r="C10" s="372"/>
      <c r="D10" s="37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40"/>
      <c r="B11" s="83"/>
      <c r="C11" s="83"/>
      <c r="D11" s="14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42" t="s">
        <v>2</v>
      </c>
      <c r="B12" s="83"/>
      <c r="C12" s="83"/>
      <c r="D12" s="14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43"/>
      <c r="B13" s="83"/>
      <c r="C13" s="83"/>
      <c r="D13" s="14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3"/>
      <c r="B14" s="144">
        <v>2023</v>
      </c>
      <c r="C14" s="144">
        <v>2020</v>
      </c>
      <c r="D14" s="144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3"/>
      <c r="B15" s="145"/>
      <c r="C15" s="145"/>
      <c r="D15" s="14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46" t="s">
        <v>3</v>
      </c>
      <c r="B16" s="147">
        <v>0</v>
      </c>
      <c r="C16" s="147"/>
      <c r="D16" s="14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46" t="s">
        <v>4</v>
      </c>
      <c r="B17" s="147">
        <v>0</v>
      </c>
      <c r="C17" s="147"/>
      <c r="D17" s="14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46" t="s">
        <v>5</v>
      </c>
      <c r="B18" s="56"/>
      <c r="C18" s="56"/>
      <c r="D18" s="14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48" t="s">
        <v>6</v>
      </c>
      <c r="B19" s="57">
        <f>2759167*6</f>
        <v>16555002</v>
      </c>
      <c r="C19" s="56">
        <v>22119886</v>
      </c>
      <c r="D19" s="56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48" t="s">
        <v>7</v>
      </c>
      <c r="B20" s="57"/>
      <c r="C20" s="56"/>
      <c r="D20" s="5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48" t="s">
        <v>8</v>
      </c>
      <c r="B21" s="57"/>
      <c r="C21" s="56"/>
      <c r="D21" s="5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48" t="s">
        <v>9</v>
      </c>
      <c r="B22" s="57"/>
      <c r="C22" s="56"/>
      <c r="D22" s="5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8" t="s">
        <v>10</v>
      </c>
      <c r="B23" s="57">
        <v>125000</v>
      </c>
      <c r="C23" s="56">
        <v>0</v>
      </c>
      <c r="D23" s="56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8" t="s">
        <v>11</v>
      </c>
      <c r="B24" s="57">
        <v>-8434124.9199999999</v>
      </c>
      <c r="C24" s="56">
        <v>-8057712</v>
      </c>
      <c r="D24" s="56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8" t="s">
        <v>184</v>
      </c>
      <c r="B25" s="57">
        <v>-1188155.72</v>
      </c>
      <c r="C25" s="56">
        <v>-2004857</v>
      </c>
      <c r="D25" s="56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9" t="s">
        <v>12</v>
      </c>
      <c r="B26" s="65">
        <v>-736159</v>
      </c>
      <c r="C26" s="56">
        <v>-6751071</v>
      </c>
      <c r="D26" s="56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9" t="s">
        <v>13</v>
      </c>
      <c r="B27" s="65">
        <v>-3070899.45</v>
      </c>
      <c r="C27" s="56">
        <v>-3703884</v>
      </c>
      <c r="D27" s="56">
        <v>-3335732.76</v>
      </c>
      <c r="E27" s="1" t="s">
        <v>175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50" t="s">
        <v>14</v>
      </c>
      <c r="B28" s="79">
        <f>+B19+B23+B24+B25+B26+B27</f>
        <v>3250662.91</v>
      </c>
      <c r="C28" s="79">
        <f t="shared" ref="C28" si="0">SUM(C19:C27)</f>
        <v>1602362</v>
      </c>
      <c r="D28" s="79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51"/>
      <c r="B29" s="66"/>
      <c r="C29" s="66"/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2" t="s">
        <v>15</v>
      </c>
      <c r="B30" s="153"/>
      <c r="C30" s="153"/>
      <c r="D30" s="1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54" t="s">
        <v>16</v>
      </c>
      <c r="B31" s="56"/>
      <c r="C31" s="56"/>
      <c r="D31" s="5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46" t="s">
        <v>17</v>
      </c>
      <c r="B32" s="56"/>
      <c r="C32" s="56"/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46" t="s">
        <v>18</v>
      </c>
      <c r="B33" s="56"/>
      <c r="C33" s="56"/>
      <c r="D33" s="5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46" t="s">
        <v>19</v>
      </c>
      <c r="B34" s="56"/>
      <c r="C34" s="56"/>
      <c r="D34" s="5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46" t="s">
        <v>20</v>
      </c>
      <c r="B35" s="56"/>
      <c r="C35" s="56"/>
      <c r="D35" s="5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46" t="s">
        <v>10</v>
      </c>
      <c r="B36" s="56"/>
      <c r="C36" s="56"/>
      <c r="D36" s="5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49" t="s">
        <v>21</v>
      </c>
      <c r="B37" s="162">
        <v>-1121000</v>
      </c>
      <c r="C37" s="56">
        <v>0</v>
      </c>
      <c r="D37" s="153">
        <v>-1759087</v>
      </c>
      <c r="E37" s="3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46" t="s">
        <v>22</v>
      </c>
      <c r="B38" s="56"/>
      <c r="C38" s="56"/>
      <c r="D38" s="5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46" t="s">
        <v>23</v>
      </c>
      <c r="B39" s="56"/>
      <c r="C39" s="56"/>
      <c r="D39" s="5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46" t="s">
        <v>24</v>
      </c>
      <c r="B40" s="56"/>
      <c r="C40" s="56"/>
      <c r="D40" s="5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46" t="s">
        <v>25</v>
      </c>
      <c r="B41" s="56"/>
      <c r="C41" s="56"/>
      <c r="D41" s="5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46" t="s">
        <v>26</v>
      </c>
      <c r="B42" s="56"/>
      <c r="C42" s="56"/>
      <c r="D42" s="5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6"/>
      <c r="B43" s="56"/>
      <c r="C43" s="56">
        <v>-1753643.41</v>
      </c>
      <c r="D43" s="5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52" t="s">
        <v>27</v>
      </c>
      <c r="B44" s="334">
        <v>-1121000</v>
      </c>
      <c r="C44" s="79">
        <f t="shared" ref="C44" si="2">SUM(C31:C43)</f>
        <v>-1753643.41</v>
      </c>
      <c r="D44" s="79">
        <f t="shared" ref="D44" si="3">SUM(D31:D43)</f>
        <v>-1759087</v>
      </c>
      <c r="E44" s="7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51"/>
      <c r="B45" s="66"/>
      <c r="C45" s="66"/>
      <c r="D45" s="6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52" t="s">
        <v>28</v>
      </c>
      <c r="B46" s="153">
        <v>0</v>
      </c>
      <c r="C46" s="153"/>
      <c r="D46" s="153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46" t="s">
        <v>29</v>
      </c>
      <c r="B47" s="56">
        <v>0</v>
      </c>
      <c r="C47" s="56">
        <v>0</v>
      </c>
      <c r="D47" s="56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46" t="s">
        <v>30</v>
      </c>
      <c r="B48" s="56">
        <v>0</v>
      </c>
      <c r="C48" s="56">
        <v>0</v>
      </c>
      <c r="D48" s="56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46" t="s">
        <v>31</v>
      </c>
      <c r="B49" s="56">
        <v>0</v>
      </c>
      <c r="C49" s="56">
        <v>0</v>
      </c>
      <c r="D49" s="56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46" t="s">
        <v>32</v>
      </c>
      <c r="B50" s="56">
        <v>0</v>
      </c>
      <c r="C50" s="56">
        <v>0</v>
      </c>
      <c r="D50" s="56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46" t="s">
        <v>10</v>
      </c>
      <c r="B51" s="56">
        <v>0</v>
      </c>
      <c r="C51" s="56">
        <v>0</v>
      </c>
      <c r="D51" s="56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46" t="s">
        <v>33</v>
      </c>
      <c r="B52" s="56">
        <v>0</v>
      </c>
      <c r="C52" s="56">
        <v>0</v>
      </c>
      <c r="D52" s="56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46" t="s">
        <v>34</v>
      </c>
      <c r="B53" s="56">
        <v>0</v>
      </c>
      <c r="C53" s="56">
        <v>0</v>
      </c>
      <c r="D53" s="56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46" t="s">
        <v>35</v>
      </c>
      <c r="B54" s="56">
        <v>0</v>
      </c>
      <c r="C54" s="56">
        <v>0</v>
      </c>
      <c r="D54" s="56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46" t="s">
        <v>36</v>
      </c>
      <c r="B55" s="56">
        <v>0</v>
      </c>
      <c r="C55" s="56">
        <v>0</v>
      </c>
      <c r="D55" s="56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46" t="s">
        <v>37</v>
      </c>
      <c r="B56" s="56">
        <v>0</v>
      </c>
      <c r="C56" s="56">
        <v>0</v>
      </c>
      <c r="D56" s="56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46" t="s">
        <v>38</v>
      </c>
      <c r="B57" s="56">
        <v>-2489346</v>
      </c>
      <c r="C57" s="56">
        <v>-190648.6</v>
      </c>
      <c r="D57" s="56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52" t="s">
        <v>39</v>
      </c>
      <c r="B58" s="79">
        <f>B57</f>
        <v>-2489346</v>
      </c>
      <c r="C58" s="79">
        <f t="shared" ref="C58" si="4">+C47+C48+C49+C50+C51-C52-C53-C54-C55-C56-C57</f>
        <v>190648.6</v>
      </c>
      <c r="D58" s="79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51"/>
      <c r="B59" s="63"/>
      <c r="C59" s="63"/>
      <c r="D59" s="6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33" customFormat="1" ht="26.25" customHeight="1" x14ac:dyDescent="0.25">
      <c r="A60" s="228" t="s">
        <v>40</v>
      </c>
      <c r="B60" s="229">
        <f>B28+B44+B58</f>
        <v>-359683.08999999985</v>
      </c>
      <c r="C60" s="230">
        <f t="shared" ref="C60" si="5">+C28+C44+C58</f>
        <v>39367.19000000009</v>
      </c>
      <c r="D60" s="230">
        <f>+D28+D44+D58</f>
        <v>-9299.4799999985844</v>
      </c>
      <c r="E60" s="231"/>
      <c r="F60" s="231"/>
      <c r="G60" s="231"/>
      <c r="H60" s="232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</row>
    <row r="61" spans="1:26" ht="19.5" customHeight="1" x14ac:dyDescent="0.25">
      <c r="A61" s="149" t="s">
        <v>41</v>
      </c>
      <c r="B61" s="293">
        <v>1869907</v>
      </c>
      <c r="C61" s="56">
        <v>74304.320000000007</v>
      </c>
      <c r="D61" s="56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thickBot="1" x14ac:dyDescent="0.3">
      <c r="A62" s="270" t="s">
        <v>42</v>
      </c>
      <c r="B62" s="332">
        <f>B60+B61</f>
        <v>1510223.9100000001</v>
      </c>
      <c r="C62" s="333">
        <f t="shared" ref="C62" si="6">+C60+C61</f>
        <v>113671.5100000001</v>
      </c>
      <c r="D62" s="333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Top="1" x14ac:dyDescent="0.25">
      <c r="A63" s="83"/>
      <c r="B63" s="63"/>
      <c r="C63" s="74"/>
      <c r="D63" s="14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3"/>
      <c r="B64" s="63"/>
      <c r="C64" s="74"/>
      <c r="D64" s="14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3"/>
      <c r="C65" s="74"/>
      <c r="D65" s="14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5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57" t="s">
        <v>206</v>
      </c>
      <c r="B67" s="368"/>
      <c r="C67" s="368"/>
      <c r="D67" s="368" t="s">
        <v>207</v>
      </c>
      <c r="E67" s="36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5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 t="s">
        <v>208</v>
      </c>
      <c r="B71" s="368"/>
      <c r="C71" s="368"/>
      <c r="D71" s="368" t="s">
        <v>209</v>
      </c>
      <c r="E71" s="36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0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188"/>
  <sheetViews>
    <sheetView view="pageBreakPreview" topLeftCell="A247" zoomScale="145" zoomScaleNormal="145" zoomScaleSheetLayoutView="145" workbookViewId="0">
      <selection activeCell="G11" sqref="G11"/>
    </sheetView>
  </sheetViews>
  <sheetFormatPr baseColWidth="10" defaultColWidth="11.5703125" defaultRowHeight="15" x14ac:dyDescent="0.25"/>
  <cols>
    <col min="1" max="1" width="26.5703125" style="17" customWidth="1"/>
    <col min="2" max="2" width="7.5703125" style="17" customWidth="1"/>
    <col min="3" max="3" width="13.28515625" style="17" customWidth="1"/>
    <col min="4" max="4" width="18.140625" style="17" customWidth="1"/>
    <col min="5" max="5" width="17.140625" style="17" customWidth="1"/>
    <col min="6" max="6" width="16.140625" style="17" customWidth="1"/>
    <col min="7" max="7" width="15.28515625" style="17" customWidth="1"/>
    <col min="8" max="8" width="20.85546875" style="17" customWidth="1"/>
    <col min="9" max="9" width="16.140625" style="17" bestFit="1" customWidth="1"/>
    <col min="10" max="16384" width="11.5703125" style="17"/>
  </cols>
  <sheetData>
    <row r="3" spans="1:9" s="26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6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6" t="s">
        <v>174</v>
      </c>
      <c r="B5" s="26"/>
      <c r="C5" s="26"/>
      <c r="D5" s="26"/>
      <c r="E5" s="26"/>
      <c r="F5" s="26"/>
      <c r="G5" s="23"/>
      <c r="H5" s="26"/>
      <c r="I5" s="26"/>
    </row>
    <row r="6" spans="1:9" x14ac:dyDescent="0.25">
      <c r="A6" s="235" t="s">
        <v>226</v>
      </c>
      <c r="B6" s="164"/>
      <c r="C6" s="164"/>
      <c r="D6" s="164"/>
      <c r="E6" s="164"/>
      <c r="F6" s="164"/>
      <c r="G6" s="21"/>
    </row>
    <row r="7" spans="1:9" x14ac:dyDescent="0.25">
      <c r="A7" s="26" t="s">
        <v>133</v>
      </c>
      <c r="B7" s="26"/>
      <c r="C7" s="26"/>
      <c r="D7" s="174">
        <v>2023</v>
      </c>
      <c r="E7" s="165">
        <v>2022</v>
      </c>
      <c r="G7" s="26"/>
      <c r="H7" s="21"/>
    </row>
    <row r="8" spans="1:9" x14ac:dyDescent="0.25">
      <c r="A8" s="26"/>
      <c r="B8" s="26"/>
      <c r="C8" s="26"/>
      <c r="D8" s="165"/>
      <c r="E8" s="165"/>
      <c r="G8" s="164"/>
      <c r="H8" s="21"/>
    </row>
    <row r="9" spans="1:9" x14ac:dyDescent="0.25">
      <c r="A9" s="164" t="s">
        <v>173</v>
      </c>
      <c r="B9" s="164"/>
      <c r="C9" s="164"/>
      <c r="D9" s="166">
        <v>1510223.77</v>
      </c>
      <c r="E9" s="166">
        <v>1869907</v>
      </c>
      <c r="G9" s="167"/>
      <c r="H9" s="21"/>
    </row>
    <row r="10" spans="1:9" ht="15.75" thickBot="1" x14ac:dyDescent="0.3">
      <c r="A10" s="26" t="s">
        <v>161</v>
      </c>
      <c r="B10" s="164"/>
      <c r="C10" s="164"/>
      <c r="D10" s="169">
        <v>1510223.77</v>
      </c>
      <c r="E10" s="168">
        <f>+E9</f>
        <v>1869907</v>
      </c>
      <c r="G10" s="171"/>
      <c r="H10" s="21"/>
    </row>
    <row r="11" spans="1:9" ht="15.75" thickTop="1" x14ac:dyDescent="0.25">
      <c r="A11" s="164" t="s">
        <v>172</v>
      </c>
      <c r="B11" s="164"/>
      <c r="C11" s="164"/>
      <c r="D11" s="235"/>
      <c r="E11" s="164"/>
      <c r="F11" s="164"/>
      <c r="G11" s="21"/>
    </row>
    <row r="12" spans="1:9" s="26" customFormat="1" x14ac:dyDescent="0.25">
      <c r="A12" s="164"/>
      <c r="B12" s="164"/>
      <c r="C12" s="164"/>
      <c r="D12" s="164"/>
      <c r="E12" s="164"/>
      <c r="F12" s="164"/>
      <c r="G12" s="21"/>
      <c r="H12" s="17"/>
      <c r="I12" s="17"/>
    </row>
    <row r="13" spans="1:9" x14ac:dyDescent="0.25">
      <c r="A13" s="26" t="s">
        <v>171</v>
      </c>
      <c r="B13" s="26"/>
      <c r="C13" s="26"/>
      <c r="D13" s="26"/>
      <c r="E13" s="26"/>
      <c r="F13" s="26"/>
      <c r="G13" s="23"/>
      <c r="H13" s="26"/>
      <c r="I13" s="26"/>
    </row>
    <row r="14" spans="1:9" x14ac:dyDescent="0.25">
      <c r="A14" s="235" t="s">
        <v>227</v>
      </c>
      <c r="B14" s="164"/>
      <c r="C14" s="164"/>
      <c r="D14" s="164"/>
      <c r="E14" s="164"/>
      <c r="F14" s="164"/>
      <c r="G14" s="21"/>
    </row>
    <row r="15" spans="1:9" x14ac:dyDescent="0.25">
      <c r="A15" s="26" t="s">
        <v>133</v>
      </c>
      <c r="B15" s="26"/>
      <c r="C15" s="26"/>
      <c r="D15" s="350">
        <v>2023</v>
      </c>
      <c r="E15" s="352">
        <v>2022</v>
      </c>
      <c r="G15" s="164"/>
      <c r="H15" s="21"/>
    </row>
    <row r="16" spans="1:9" x14ac:dyDescent="0.25">
      <c r="A16" s="26"/>
      <c r="B16" s="26"/>
      <c r="C16" s="26"/>
      <c r="D16" s="165"/>
      <c r="E16" s="165"/>
      <c r="G16" s="164"/>
      <c r="H16" s="21"/>
    </row>
    <row r="17" spans="1:9" x14ac:dyDescent="0.25">
      <c r="A17" s="164" t="s">
        <v>170</v>
      </c>
      <c r="B17" s="164"/>
      <c r="C17" s="164"/>
      <c r="D17" s="171">
        <v>576859</v>
      </c>
      <c r="E17" s="170">
        <f>1923575.92-781162-121952</f>
        <v>1020461.9199999999</v>
      </c>
      <c r="G17" s="171"/>
      <c r="H17" s="242"/>
    </row>
    <row r="18" spans="1:9" ht="15.75" x14ac:dyDescent="0.25">
      <c r="A18" s="316" t="s">
        <v>169</v>
      </c>
      <c r="B18" s="315"/>
      <c r="C18" s="315"/>
      <c r="D18" s="171">
        <v>159300</v>
      </c>
      <c r="E18" s="170">
        <f>407395</f>
        <v>407395</v>
      </c>
      <c r="G18" s="90"/>
      <c r="H18" s="21"/>
    </row>
    <row r="19" spans="1:9" ht="15.75" thickBot="1" x14ac:dyDescent="0.3">
      <c r="A19" s="164"/>
      <c r="B19" s="164"/>
      <c r="C19" s="164"/>
      <c r="D19" s="169">
        <f>SUM(D17:D18)</f>
        <v>736159</v>
      </c>
      <c r="E19" s="169">
        <f>SUM(E17:E18)</f>
        <v>1427856.92</v>
      </c>
      <c r="G19" s="195"/>
      <c r="H19" s="21"/>
    </row>
    <row r="20" spans="1:9" ht="15.75" thickTop="1" x14ac:dyDescent="0.25">
      <c r="A20" s="164"/>
      <c r="B20" s="164"/>
      <c r="C20" s="164"/>
      <c r="D20" s="171"/>
      <c r="E20" s="171"/>
      <c r="F20" s="171"/>
      <c r="G20" s="21"/>
      <c r="H20" s="18"/>
    </row>
    <row r="21" spans="1:9" x14ac:dyDescent="0.25">
      <c r="A21" s="172" t="s">
        <v>168</v>
      </c>
      <c r="B21" s="172"/>
      <c r="C21" s="172"/>
      <c r="D21" s="172"/>
      <c r="E21" s="172"/>
      <c r="F21" s="26"/>
      <c r="G21" s="23"/>
      <c r="H21" s="26"/>
      <c r="I21" s="26"/>
    </row>
    <row r="22" spans="1:9" ht="15" customHeight="1" x14ac:dyDescent="0.25">
      <c r="A22" s="236" t="s">
        <v>228</v>
      </c>
      <c r="B22" s="173"/>
      <c r="C22" s="173"/>
      <c r="D22" s="173"/>
      <c r="E22" s="173"/>
      <c r="F22" s="164"/>
      <c r="G22" s="21"/>
    </row>
    <row r="23" spans="1:9" ht="12.75" customHeight="1" x14ac:dyDescent="0.25">
      <c r="A23" s="172"/>
      <c r="B23" s="172"/>
      <c r="C23" s="172"/>
      <c r="D23" s="174"/>
      <c r="E23" s="174"/>
      <c r="F23" s="164"/>
      <c r="G23" s="21"/>
    </row>
    <row r="24" spans="1:9" x14ac:dyDescent="0.25">
      <c r="A24" s="172" t="s">
        <v>133</v>
      </c>
      <c r="B24" s="172"/>
      <c r="C24" s="172"/>
      <c r="D24" s="367">
        <v>2023</v>
      </c>
      <c r="E24" s="350">
        <v>2022</v>
      </c>
      <c r="G24" s="164"/>
      <c r="H24" s="21"/>
    </row>
    <row r="25" spans="1:9" x14ac:dyDescent="0.25">
      <c r="A25" s="173" t="s">
        <v>190</v>
      </c>
      <c r="B25" s="173"/>
      <c r="C25" s="173"/>
      <c r="D25" s="200">
        <v>8260</v>
      </c>
      <c r="E25" s="175">
        <v>4407.25</v>
      </c>
      <c r="G25" s="241"/>
      <c r="H25" s="21"/>
    </row>
    <row r="26" spans="1:9" ht="15.75" thickBot="1" x14ac:dyDescent="0.3">
      <c r="A26" s="164"/>
      <c r="B26" s="173"/>
      <c r="C26" s="173"/>
      <c r="D26" s="314">
        <f>+D25</f>
        <v>8260</v>
      </c>
      <c r="E26" s="314">
        <f>+E25</f>
        <v>4407.25</v>
      </c>
      <c r="G26" s="164"/>
      <c r="H26" s="21"/>
    </row>
    <row r="27" spans="1:9" ht="18" thickTop="1" x14ac:dyDescent="0.4">
      <c r="A27" s="173" t="s">
        <v>151</v>
      </c>
      <c r="B27" s="173"/>
      <c r="C27" s="173"/>
      <c r="D27" s="178"/>
      <c r="E27" s="178"/>
      <c r="F27" s="164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6" t="s">
        <v>167</v>
      </c>
      <c r="B29" s="164"/>
      <c r="C29" s="164"/>
      <c r="D29" s="164"/>
      <c r="E29" s="164"/>
      <c r="F29" s="164"/>
      <c r="G29" s="164"/>
    </row>
    <row r="30" spans="1:9" x14ac:dyDescent="0.25">
      <c r="A30" s="386" t="s">
        <v>167</v>
      </c>
      <c r="B30" s="387"/>
      <c r="C30" s="387"/>
      <c r="D30" s="387"/>
      <c r="E30" s="387"/>
      <c r="F30" s="387"/>
      <c r="G30" s="388"/>
    </row>
    <row r="31" spans="1:9" ht="30" x14ac:dyDescent="0.25">
      <c r="A31" s="179"/>
      <c r="B31" s="180" t="s">
        <v>166</v>
      </c>
      <c r="C31" s="181" t="s">
        <v>165</v>
      </c>
      <c r="D31" s="180" t="s">
        <v>164</v>
      </c>
      <c r="E31" s="181" t="s">
        <v>163</v>
      </c>
      <c r="F31" s="181" t="s">
        <v>162</v>
      </c>
      <c r="G31" s="181" t="s">
        <v>270</v>
      </c>
      <c r="H31" s="180" t="s">
        <v>161</v>
      </c>
      <c r="I31" s="80">
        <f>SUM(E31:H31)</f>
        <v>0</v>
      </c>
    </row>
    <row r="32" spans="1:9" x14ac:dyDescent="0.25">
      <c r="A32" s="182" t="s">
        <v>273</v>
      </c>
      <c r="B32" s="27"/>
      <c r="C32" s="27"/>
      <c r="D32" s="183">
        <v>648000.39</v>
      </c>
      <c r="E32" s="183">
        <v>7600613.5199999996</v>
      </c>
      <c r="F32" s="183">
        <v>2609965.54</v>
      </c>
      <c r="G32" s="183"/>
      <c r="H32" s="184">
        <f>SUM(D32:F32)</f>
        <v>10858579.449999999</v>
      </c>
    </row>
    <row r="33" spans="1:10" x14ac:dyDescent="0.25">
      <c r="A33" s="272" t="s">
        <v>160</v>
      </c>
      <c r="B33" s="185"/>
      <c r="C33" s="185"/>
      <c r="D33" s="186"/>
      <c r="E33" s="186"/>
      <c r="F33" s="186"/>
      <c r="G33" s="186">
        <v>1121000</v>
      </c>
      <c r="H33" s="321">
        <v>1121000</v>
      </c>
      <c r="I33" s="31"/>
    </row>
    <row r="34" spans="1:10" x14ac:dyDescent="0.25">
      <c r="A34" s="179" t="s">
        <v>159</v>
      </c>
      <c r="B34" s="179"/>
      <c r="C34" s="179"/>
      <c r="D34" s="188"/>
      <c r="E34" s="188"/>
      <c r="F34" s="188"/>
      <c r="G34" s="188"/>
      <c r="H34" s="184"/>
      <c r="I34" s="19"/>
      <c r="J34" s="36"/>
    </row>
    <row r="35" spans="1:10" x14ac:dyDescent="0.25">
      <c r="A35" s="179" t="s">
        <v>158</v>
      </c>
      <c r="B35" s="179"/>
      <c r="C35" s="179"/>
      <c r="D35" s="188"/>
      <c r="E35" s="188"/>
      <c r="F35" s="188"/>
      <c r="G35" s="188"/>
      <c r="H35" s="184">
        <f t="shared" ref="H35:H37" si="0">SUM(D35:F35)</f>
        <v>0</v>
      </c>
      <c r="J35" s="81"/>
    </row>
    <row r="36" spans="1:10" x14ac:dyDescent="0.25">
      <c r="A36" s="179" t="s">
        <v>157</v>
      </c>
      <c r="B36" s="179"/>
      <c r="C36" s="179"/>
      <c r="D36" s="188"/>
      <c r="E36" s="188"/>
      <c r="F36" s="188"/>
      <c r="G36" s="188"/>
      <c r="H36" s="184">
        <f t="shared" si="0"/>
        <v>0</v>
      </c>
    </row>
    <row r="37" spans="1:10" s="26" customFormat="1" x14ac:dyDescent="0.25">
      <c r="A37" s="179" t="s">
        <v>65</v>
      </c>
      <c r="B37" s="179"/>
      <c r="C37" s="179"/>
      <c r="D37" s="188"/>
      <c r="E37" s="188"/>
      <c r="F37" s="188"/>
      <c r="G37" s="188"/>
      <c r="H37" s="184">
        <f t="shared" si="0"/>
        <v>0</v>
      </c>
      <c r="I37" s="19"/>
      <c r="J37" s="17"/>
    </row>
    <row r="38" spans="1:10" x14ac:dyDescent="0.25">
      <c r="A38" s="27" t="s">
        <v>279</v>
      </c>
      <c r="B38" s="184">
        <f>SUM(B32:B37)</f>
        <v>0</v>
      </c>
      <c r="C38" s="184">
        <f>SUM(C32:C37)</f>
        <v>0</v>
      </c>
      <c r="D38" s="184">
        <v>648000.39</v>
      </c>
      <c r="E38" s="184">
        <f>E32+E33</f>
        <v>7600613.5199999996</v>
      </c>
      <c r="F38" s="184">
        <f>SUM(F32:F37)</f>
        <v>2609965.54</v>
      </c>
      <c r="G38" s="184">
        <f>SUM(G33:G37)</f>
        <v>1121000</v>
      </c>
      <c r="H38" s="184">
        <f>SUM(H32:H33)</f>
        <v>11979579.449999999</v>
      </c>
      <c r="I38" s="26"/>
      <c r="J38" s="26"/>
    </row>
    <row r="39" spans="1:10" s="26" customFormat="1" ht="30" x14ac:dyDescent="0.25">
      <c r="A39" s="317" t="s">
        <v>271</v>
      </c>
      <c r="B39" s="179"/>
      <c r="C39" s="179"/>
      <c r="D39" s="320">
        <v>-151248.26999999999</v>
      </c>
      <c r="E39" s="320">
        <v>-2401420.06</v>
      </c>
      <c r="F39" s="320">
        <v>-987590.52</v>
      </c>
      <c r="G39" s="320" t="s">
        <v>236</v>
      </c>
      <c r="H39" s="320">
        <f>SUM(D39:F39)</f>
        <v>-3540258.85</v>
      </c>
      <c r="I39" s="296"/>
      <c r="J39" s="17"/>
    </row>
    <row r="40" spans="1:10" ht="30" x14ac:dyDescent="0.25">
      <c r="A40" s="306" t="s">
        <v>156</v>
      </c>
      <c r="B40" s="307"/>
      <c r="C40" s="307"/>
      <c r="D40" s="189">
        <v>-5400</v>
      </c>
      <c r="E40" s="187">
        <v>-63338.44</v>
      </c>
      <c r="F40" s="187">
        <v>-54374.28</v>
      </c>
      <c r="G40" s="187" t="s">
        <v>236</v>
      </c>
      <c r="H40" s="187">
        <f>SUM(D40:F40)</f>
        <v>-123112.72</v>
      </c>
      <c r="I40" s="19"/>
      <c r="J40" s="26"/>
    </row>
    <row r="41" spans="1:10" x14ac:dyDescent="0.25">
      <c r="A41" s="185" t="s">
        <v>155</v>
      </c>
      <c r="B41" s="185"/>
      <c r="C41" s="185"/>
      <c r="D41" s="186"/>
      <c r="E41" s="186"/>
      <c r="F41" s="186"/>
      <c r="G41" s="321" t="s">
        <v>236</v>
      </c>
      <c r="H41" s="187">
        <f>SUM(D41:F41)</f>
        <v>0</v>
      </c>
      <c r="I41" s="19"/>
    </row>
    <row r="42" spans="1:10" ht="39" customHeight="1" x14ac:dyDescent="0.25">
      <c r="A42" s="306" t="s">
        <v>280</v>
      </c>
      <c r="B42" s="187">
        <f>SUM(B39+B40+B41)</f>
        <v>0</v>
      </c>
      <c r="C42" s="187">
        <f>SUM(C39+C40+C41)</f>
        <v>0</v>
      </c>
      <c r="D42" s="318">
        <f>D39+D40</f>
        <v>-156648.26999999999</v>
      </c>
      <c r="E42" s="318">
        <f>E39+E40</f>
        <v>-2464758.5</v>
      </c>
      <c r="F42" s="318">
        <f>SUM(F39:F41)</f>
        <v>-1041964.8</v>
      </c>
      <c r="G42" s="187" t="s">
        <v>236</v>
      </c>
      <c r="H42" s="187">
        <f>SUM(D42:G42)</f>
        <v>-3663371.5700000003</v>
      </c>
      <c r="I42" s="36"/>
    </row>
    <row r="43" spans="1:10" ht="30" x14ac:dyDescent="0.25">
      <c r="A43" s="306" t="s">
        <v>154</v>
      </c>
      <c r="B43" s="187">
        <f t="shared" ref="B43:C43" si="1">SUM(B38-B42)</f>
        <v>0</v>
      </c>
      <c r="C43" s="187">
        <f t="shared" si="1"/>
        <v>0</v>
      </c>
      <c r="D43" s="187">
        <f>D38+D42</f>
        <v>491352.12</v>
      </c>
      <c r="E43" s="187">
        <f>E38+E42</f>
        <v>5135855.0199999996</v>
      </c>
      <c r="F43" s="187">
        <f>F38+F42</f>
        <v>1568000.74</v>
      </c>
      <c r="G43" s="187">
        <f>G38</f>
        <v>1121000</v>
      </c>
      <c r="H43" s="187">
        <f>H38+H42</f>
        <v>8316207.879999999</v>
      </c>
    </row>
    <row r="44" spans="1:10" x14ac:dyDescent="0.25">
      <c r="A44" s="164"/>
      <c r="B44" s="164"/>
      <c r="C44" s="164"/>
      <c r="D44" s="164"/>
      <c r="E44" s="164"/>
      <c r="F44" s="319"/>
      <c r="G44" s="192"/>
    </row>
    <row r="45" spans="1:10" x14ac:dyDescent="0.25">
      <c r="A45" s="164"/>
      <c r="B45" s="164"/>
      <c r="C45" s="164"/>
      <c r="D45" s="164"/>
      <c r="E45" s="164"/>
      <c r="F45" s="164"/>
      <c r="G45" s="192"/>
    </row>
    <row r="46" spans="1:10" ht="47.25" customHeight="1" x14ac:dyDescent="0.25">
      <c r="A46" s="385" t="s">
        <v>296</v>
      </c>
      <c r="B46" s="385"/>
      <c r="C46" s="385"/>
      <c r="D46" s="385"/>
      <c r="E46" s="385"/>
      <c r="F46" s="385"/>
      <c r="G46" s="385"/>
    </row>
    <row r="47" spans="1:10" x14ac:dyDescent="0.25">
      <c r="E47" s="193"/>
      <c r="F47" s="193"/>
      <c r="G47" s="193"/>
    </row>
    <row r="48" spans="1:10" x14ac:dyDescent="0.25">
      <c r="A48" s="26" t="s">
        <v>153</v>
      </c>
      <c r="B48" s="164"/>
      <c r="C48" s="164"/>
      <c r="D48" s="164"/>
      <c r="E48" s="164"/>
      <c r="F48" s="164"/>
      <c r="G48" s="164"/>
    </row>
    <row r="49" spans="1:8" x14ac:dyDescent="0.25">
      <c r="A49" s="235" t="s">
        <v>229</v>
      </c>
      <c r="B49" s="164"/>
      <c r="C49" s="164"/>
      <c r="D49" s="164"/>
      <c r="E49" s="164"/>
      <c r="F49" s="164"/>
      <c r="G49" s="164"/>
    </row>
    <row r="50" spans="1:8" x14ac:dyDescent="0.25">
      <c r="A50" s="26" t="s">
        <v>133</v>
      </c>
      <c r="B50" s="26"/>
      <c r="C50" s="26"/>
      <c r="D50" s="26">
        <v>2022</v>
      </c>
      <c r="E50" s="26">
        <v>2023</v>
      </c>
      <c r="F50" s="165"/>
      <c r="G50" s="164"/>
    </row>
    <row r="51" spans="1:8" x14ac:dyDescent="0.25">
      <c r="A51" s="173" t="s">
        <v>152</v>
      </c>
      <c r="B51" s="173"/>
      <c r="C51" s="173"/>
      <c r="D51" s="177">
        <v>0</v>
      </c>
      <c r="E51" s="239" t="s">
        <v>236</v>
      </c>
      <c r="F51" s="171"/>
      <c r="G51" s="164"/>
    </row>
    <row r="52" spans="1:8" ht="15.75" thickBot="1" x14ac:dyDescent="0.3">
      <c r="A52" s="26" t="s">
        <v>161</v>
      </c>
      <c r="B52" s="164"/>
      <c r="C52" s="164"/>
      <c r="D52" s="194">
        <v>0</v>
      </c>
      <c r="E52" s="240">
        <f>SUM(E51:E51)</f>
        <v>0</v>
      </c>
      <c r="F52" s="169"/>
      <c r="G52" s="164"/>
      <c r="H52" s="19"/>
    </row>
    <row r="53" spans="1:8" ht="15.75" thickTop="1" x14ac:dyDescent="0.25">
      <c r="A53" s="164" t="s">
        <v>224</v>
      </c>
      <c r="B53" s="164"/>
      <c r="C53" s="164"/>
      <c r="D53" s="176"/>
      <c r="E53" s="195"/>
      <c r="F53" s="195"/>
      <c r="G53" s="164"/>
    </row>
    <row r="54" spans="1:8" x14ac:dyDescent="0.25">
      <c r="A54" s="164"/>
      <c r="B54" s="164"/>
      <c r="C54" s="164"/>
      <c r="D54" s="164"/>
      <c r="E54" s="164"/>
      <c r="F54" s="164"/>
      <c r="G54" s="164"/>
    </row>
    <row r="55" spans="1:8" x14ac:dyDescent="0.25">
      <c r="A55" s="26" t="s">
        <v>150</v>
      </c>
      <c r="B55" s="164"/>
      <c r="C55" s="164"/>
      <c r="D55" s="196"/>
      <c r="E55" s="164"/>
      <c r="F55" s="164"/>
      <c r="G55" s="164"/>
    </row>
    <row r="56" spans="1:8" x14ac:dyDescent="0.25">
      <c r="A56" s="235" t="s">
        <v>230</v>
      </c>
      <c r="B56" s="164"/>
      <c r="C56" s="164"/>
      <c r="D56" s="164"/>
      <c r="E56" s="164"/>
      <c r="F56" s="164"/>
      <c r="G56" s="164"/>
    </row>
    <row r="57" spans="1:8" x14ac:dyDescent="0.25">
      <c r="A57" s="26" t="s">
        <v>133</v>
      </c>
      <c r="B57" s="26"/>
      <c r="C57" s="26"/>
      <c r="D57" s="197"/>
      <c r="E57" s="164"/>
      <c r="F57" s="165"/>
      <c r="G57" s="164"/>
    </row>
    <row r="58" spans="1:8" ht="15" customHeight="1" x14ac:dyDescent="0.25">
      <c r="A58" s="26" t="s">
        <v>180</v>
      </c>
      <c r="B58" s="164"/>
      <c r="C58" s="164"/>
      <c r="D58" s="218">
        <v>2023</v>
      </c>
      <c r="E58" s="218">
        <v>2022</v>
      </c>
      <c r="G58" s="171"/>
      <c r="H58" s="164"/>
    </row>
    <row r="59" spans="1:8" ht="15" customHeight="1" x14ac:dyDescent="0.25">
      <c r="A59" s="244" t="s">
        <v>243</v>
      </c>
      <c r="B59" s="164"/>
      <c r="C59" s="164"/>
      <c r="D59" s="247">
        <v>49607.199999999997</v>
      </c>
      <c r="G59" s="171"/>
      <c r="H59" s="164"/>
    </row>
    <row r="60" spans="1:8" ht="15" customHeight="1" x14ac:dyDescent="0.25">
      <c r="A60" s="245" t="s">
        <v>244</v>
      </c>
      <c r="B60" s="164"/>
      <c r="C60" s="164"/>
      <c r="D60" s="248">
        <v>35400</v>
      </c>
      <c r="G60" s="171"/>
      <c r="H60" s="164"/>
    </row>
    <row r="61" spans="1:8" ht="15" customHeight="1" x14ac:dyDescent="0.25">
      <c r="A61" s="246" t="s">
        <v>242</v>
      </c>
      <c r="B61" s="164"/>
      <c r="C61" s="164"/>
      <c r="D61" s="247">
        <v>10797</v>
      </c>
      <c r="G61" s="171"/>
      <c r="H61" s="164"/>
    </row>
    <row r="62" spans="1:8" ht="15" customHeight="1" thickBot="1" x14ac:dyDescent="0.3">
      <c r="A62" s="26" t="s">
        <v>176</v>
      </c>
      <c r="B62" s="164"/>
      <c r="C62" s="164"/>
      <c r="D62" s="277">
        <f>SUM(D59:D61)</f>
        <v>95804.2</v>
      </c>
      <c r="E62" s="169">
        <v>706001</v>
      </c>
      <c r="G62" s="171"/>
      <c r="H62" s="164"/>
    </row>
    <row r="63" spans="1:8" ht="15" customHeight="1" thickTop="1" x14ac:dyDescent="0.25">
      <c r="A63" s="164"/>
      <c r="B63" s="164"/>
      <c r="C63" s="164"/>
      <c r="D63" s="171"/>
      <c r="F63" s="171"/>
      <c r="G63" s="164"/>
    </row>
    <row r="64" spans="1:8" ht="15" customHeight="1" x14ac:dyDescent="0.25">
      <c r="A64" s="26" t="s">
        <v>285</v>
      </c>
      <c r="B64" s="164"/>
      <c r="C64" s="164"/>
      <c r="D64" s="171"/>
      <c r="E64" s="171"/>
      <c r="F64" s="171"/>
      <c r="G64" s="164"/>
    </row>
    <row r="65" spans="1:8" ht="15" customHeight="1" x14ac:dyDescent="0.25">
      <c r="A65" s="243" t="s">
        <v>245</v>
      </c>
      <c r="B65" s="164"/>
      <c r="C65" s="164"/>
      <c r="D65" s="171"/>
      <c r="E65" s="171"/>
      <c r="F65" s="171"/>
      <c r="G65" s="164"/>
    </row>
    <row r="66" spans="1:8" ht="15" customHeight="1" x14ac:dyDescent="0.25">
      <c r="A66" s="26" t="s">
        <v>213</v>
      </c>
      <c r="B66" s="164"/>
      <c r="C66" s="164"/>
      <c r="D66" s="171"/>
      <c r="E66" s="171"/>
      <c r="F66" s="171"/>
      <c r="G66" s="164"/>
    </row>
    <row r="67" spans="1:8" ht="15" customHeight="1" x14ac:dyDescent="0.25">
      <c r="A67" s="196" t="s">
        <v>179</v>
      </c>
      <c r="B67" s="164"/>
      <c r="C67" s="164"/>
      <c r="D67" s="273">
        <v>2023</v>
      </c>
      <c r="E67" s="172">
        <v>2022</v>
      </c>
      <c r="G67" s="171"/>
    </row>
    <row r="68" spans="1:8" ht="15" customHeight="1" x14ac:dyDescent="0.25">
      <c r="A68" s="243" t="s">
        <v>246</v>
      </c>
      <c r="B68" s="164"/>
      <c r="C68" s="164"/>
      <c r="D68" s="340">
        <v>26250</v>
      </c>
      <c r="G68" s="171"/>
      <c r="H68" s="21"/>
    </row>
    <row r="69" spans="1:8" ht="15" customHeight="1" x14ac:dyDescent="0.25">
      <c r="A69" s="243" t="s">
        <v>247</v>
      </c>
      <c r="B69" s="164"/>
      <c r="C69" s="164"/>
      <c r="D69" s="340">
        <v>10089</v>
      </c>
      <c r="G69" s="171"/>
      <c r="H69" s="21"/>
    </row>
    <row r="70" spans="1:8" ht="15" customHeight="1" x14ac:dyDescent="0.25">
      <c r="A70" s="243" t="s">
        <v>248</v>
      </c>
      <c r="B70" s="164"/>
      <c r="C70" s="164"/>
      <c r="D70" s="340">
        <v>4130</v>
      </c>
      <c r="G70" s="171"/>
      <c r="H70" s="21"/>
    </row>
    <row r="71" spans="1:8" ht="15" customHeight="1" x14ac:dyDescent="0.25">
      <c r="A71" s="243" t="s">
        <v>249</v>
      </c>
      <c r="B71" s="164"/>
      <c r="C71" s="164"/>
      <c r="D71" s="340">
        <f>4189+287094.09+46020</f>
        <v>337303.09</v>
      </c>
      <c r="G71" s="171"/>
      <c r="H71" s="21"/>
    </row>
    <row r="72" spans="1:8" ht="15" customHeight="1" x14ac:dyDescent="0.25">
      <c r="A72" s="243" t="s">
        <v>250</v>
      </c>
      <c r="B72" s="164"/>
      <c r="C72" s="164"/>
      <c r="D72" s="340">
        <v>8378</v>
      </c>
      <c r="G72" s="171"/>
      <c r="H72" s="21"/>
    </row>
    <row r="73" spans="1:8" ht="15" customHeight="1" x14ac:dyDescent="0.25">
      <c r="A73" s="243" t="s">
        <v>251</v>
      </c>
      <c r="B73" s="164"/>
      <c r="C73" s="164"/>
      <c r="D73" s="340">
        <v>11775</v>
      </c>
      <c r="G73" s="171"/>
      <c r="H73" s="21"/>
    </row>
    <row r="74" spans="1:8" ht="15" customHeight="1" x14ac:dyDescent="0.25">
      <c r="A74" s="243" t="s">
        <v>260</v>
      </c>
      <c r="B74" s="164"/>
      <c r="C74" s="164"/>
      <c r="D74" s="340">
        <v>3250</v>
      </c>
      <c r="G74" s="171"/>
      <c r="H74" s="21"/>
    </row>
    <row r="75" spans="1:8" ht="15" customHeight="1" x14ac:dyDescent="0.25">
      <c r="A75" s="243" t="s">
        <v>252</v>
      </c>
      <c r="B75" s="164"/>
      <c r="C75" s="164"/>
      <c r="D75" s="340">
        <v>105705</v>
      </c>
      <c r="G75" s="171"/>
      <c r="H75" s="21"/>
    </row>
    <row r="76" spans="1:8" ht="15" customHeight="1" x14ac:dyDescent="0.25">
      <c r="A76" s="243" t="s">
        <v>253</v>
      </c>
      <c r="B76" s="164"/>
      <c r="C76" s="164"/>
      <c r="D76" s="340">
        <v>6000</v>
      </c>
      <c r="G76" s="171"/>
      <c r="H76" s="21"/>
    </row>
    <row r="77" spans="1:8" ht="15" customHeight="1" x14ac:dyDescent="0.25">
      <c r="A77" s="243" t="s">
        <v>254</v>
      </c>
      <c r="B77" s="164"/>
      <c r="C77" s="164"/>
      <c r="D77" s="340">
        <f>5841+7316+5841+4950+6200+5841</f>
        <v>35989</v>
      </c>
      <c r="G77" s="171"/>
      <c r="H77" s="21"/>
    </row>
    <row r="78" spans="1:8" ht="15" customHeight="1" x14ac:dyDescent="0.25">
      <c r="A78" s="198" t="s">
        <v>255</v>
      </c>
      <c r="B78" s="164"/>
      <c r="C78" s="164"/>
      <c r="D78" s="340">
        <v>5310</v>
      </c>
      <c r="G78" s="171"/>
      <c r="H78" s="21"/>
    </row>
    <row r="79" spans="1:8" ht="15.75" customHeight="1" x14ac:dyDescent="0.25">
      <c r="A79" s="249" t="s">
        <v>256</v>
      </c>
      <c r="B79" s="173"/>
      <c r="C79" s="173"/>
      <c r="D79" s="340">
        <v>64351</v>
      </c>
      <c r="G79" s="164"/>
      <c r="H79" s="21"/>
    </row>
    <row r="80" spans="1:8" ht="15" customHeight="1" x14ac:dyDescent="0.25">
      <c r="A80" s="243" t="s">
        <v>257</v>
      </c>
      <c r="B80" s="26"/>
      <c r="C80" s="26"/>
      <c r="D80" s="340">
        <f>7906+94499.95</f>
        <v>102405.95</v>
      </c>
      <c r="G80" s="171"/>
      <c r="H80" s="21"/>
    </row>
    <row r="81" spans="1:9" ht="15" customHeight="1" x14ac:dyDescent="0.25">
      <c r="A81" s="243" t="s">
        <v>258</v>
      </c>
      <c r="B81" s="26"/>
      <c r="C81" s="26"/>
      <c r="D81" s="340">
        <f>1950*6+390</f>
        <v>12090</v>
      </c>
      <c r="G81" s="171"/>
      <c r="H81" s="242"/>
    </row>
    <row r="82" spans="1:9" ht="15" customHeight="1" x14ac:dyDescent="0.25">
      <c r="A82" s="243" t="s">
        <v>259</v>
      </c>
      <c r="B82" s="26"/>
      <c r="C82" s="26"/>
      <c r="D82" s="340">
        <f>7198+11800+7198+5900+5900+5900+11800+5900</f>
        <v>61596</v>
      </c>
      <c r="G82" s="171"/>
      <c r="H82" s="242"/>
    </row>
    <row r="83" spans="1:9" ht="15" customHeight="1" x14ac:dyDescent="0.25">
      <c r="A83" s="249" t="s">
        <v>256</v>
      </c>
      <c r="B83" s="196"/>
      <c r="C83" s="164"/>
      <c r="D83" s="340">
        <v>67968</v>
      </c>
      <c r="G83" s="171"/>
      <c r="H83" s="21"/>
    </row>
    <row r="84" spans="1:9" ht="15" customHeight="1" x14ac:dyDescent="0.25">
      <c r="A84" s="243" t="s">
        <v>261</v>
      </c>
      <c r="B84" s="164"/>
      <c r="C84" s="164"/>
      <c r="D84" s="340">
        <v>53100</v>
      </c>
      <c r="G84" s="171"/>
      <c r="H84" s="21"/>
    </row>
    <row r="85" spans="1:9" ht="15" customHeight="1" x14ac:dyDescent="0.25">
      <c r="A85" s="243" t="s">
        <v>262</v>
      </c>
      <c r="B85" s="164"/>
      <c r="C85" s="164"/>
      <c r="D85" s="340">
        <v>19261.439999999999</v>
      </c>
      <c r="G85" s="171"/>
      <c r="H85" s="242"/>
    </row>
    <row r="86" spans="1:9" ht="15" customHeight="1" x14ac:dyDescent="0.25">
      <c r="A86" s="243" t="s">
        <v>263</v>
      </c>
      <c r="B86" s="164"/>
      <c r="C86" s="164"/>
      <c r="D86" s="340">
        <f>3894+3894</f>
        <v>7788</v>
      </c>
      <c r="G86" s="171"/>
      <c r="H86" s="21"/>
    </row>
    <row r="87" spans="1:9" ht="15" customHeight="1" x14ac:dyDescent="0.25">
      <c r="A87" s="243" t="s">
        <v>264</v>
      </c>
      <c r="B87" s="164"/>
      <c r="C87" s="164"/>
      <c r="D87" s="340">
        <v>23010</v>
      </c>
      <c r="G87" s="171"/>
      <c r="H87" s="21"/>
    </row>
    <row r="88" spans="1:9" ht="15" customHeight="1" x14ac:dyDescent="0.25">
      <c r="A88" s="243" t="s">
        <v>265</v>
      </c>
      <c r="B88" s="164"/>
      <c r="C88" s="164"/>
      <c r="D88" s="340">
        <v>155585.64000000001</v>
      </c>
      <c r="G88" s="171"/>
      <c r="H88" s="21"/>
    </row>
    <row r="89" spans="1:9" ht="15.75" customHeight="1" x14ac:dyDescent="0.25">
      <c r="A89" s="243" t="s">
        <v>266</v>
      </c>
      <c r="B89" s="164"/>
      <c r="C89" s="164"/>
      <c r="D89" s="340">
        <v>63422.96</v>
      </c>
      <c r="G89" s="171"/>
      <c r="H89" s="21"/>
    </row>
    <row r="90" spans="1:9" ht="15.75" customHeight="1" x14ac:dyDescent="0.25">
      <c r="A90" s="243" t="s">
        <v>267</v>
      </c>
      <c r="B90" s="164"/>
      <c r="C90" s="164"/>
      <c r="D90" s="340">
        <v>35400</v>
      </c>
      <c r="G90" s="171"/>
      <c r="H90" s="21"/>
    </row>
    <row r="91" spans="1:9" ht="15.75" customHeight="1" thickBot="1" x14ac:dyDescent="0.3">
      <c r="A91" s="26" t="s">
        <v>284</v>
      </c>
      <c r="B91" s="164"/>
      <c r="C91" s="164"/>
      <c r="D91" s="341">
        <f>SUM(D68:D90)</f>
        <v>1220158.08</v>
      </c>
      <c r="E91" s="341">
        <v>805042</v>
      </c>
      <c r="G91" s="171"/>
      <c r="H91" s="21"/>
    </row>
    <row r="92" spans="1:9" ht="15.75" customHeight="1" thickTop="1" x14ac:dyDescent="0.25">
      <c r="A92" s="26" t="s">
        <v>223</v>
      </c>
      <c r="B92" s="164"/>
      <c r="C92" s="164"/>
      <c r="D92" s="43">
        <f>+D91+D62</f>
        <v>1315962.28</v>
      </c>
      <c r="E92" s="43">
        <f>+E91+C62</f>
        <v>805042</v>
      </c>
      <c r="G92" s="171"/>
      <c r="H92" s="21"/>
    </row>
    <row r="93" spans="1:9" ht="15.75" customHeight="1" x14ac:dyDescent="0.25">
      <c r="A93" s="172"/>
      <c r="B93" s="173"/>
      <c r="C93" s="173"/>
      <c r="D93" s="173"/>
      <c r="E93" s="164"/>
      <c r="F93" s="171"/>
      <c r="G93" s="21"/>
      <c r="I93" s="253">
        <v>805042</v>
      </c>
    </row>
    <row r="94" spans="1:9" x14ac:dyDescent="0.25">
      <c r="A94" s="164"/>
      <c r="B94" s="164"/>
      <c r="C94" s="164"/>
      <c r="D94" s="164"/>
      <c r="E94" s="164"/>
      <c r="F94" s="174"/>
      <c r="G94" s="21"/>
    </row>
    <row r="95" spans="1:9" x14ac:dyDescent="0.25">
      <c r="A95" s="172" t="s">
        <v>286</v>
      </c>
      <c r="B95" s="173"/>
      <c r="C95" s="173"/>
      <c r="D95" s="173"/>
      <c r="E95" s="164"/>
      <c r="F95" s="177"/>
      <c r="G95" s="21"/>
    </row>
    <row r="96" spans="1:9" x14ac:dyDescent="0.25">
      <c r="A96" s="172" t="s">
        <v>113</v>
      </c>
      <c r="B96" s="173"/>
      <c r="C96" s="173"/>
      <c r="D96" s="173"/>
      <c r="E96" s="164"/>
      <c r="F96" s="177"/>
      <c r="G96" s="21"/>
    </row>
    <row r="97" spans="1:8" x14ac:dyDescent="0.25">
      <c r="A97" s="236" t="s">
        <v>231</v>
      </c>
      <c r="B97" s="172"/>
      <c r="C97" s="173"/>
      <c r="D97" s="173"/>
      <c r="E97" s="164"/>
      <c r="F97" s="176"/>
      <c r="G97" s="21"/>
    </row>
    <row r="98" spans="1:8" x14ac:dyDescent="0.25">
      <c r="A98" s="172" t="s">
        <v>133</v>
      </c>
      <c r="B98" s="173"/>
      <c r="C98" s="172"/>
      <c r="D98" s="174">
        <v>2023</v>
      </c>
      <c r="E98" s="26">
        <v>2022</v>
      </c>
      <c r="G98" s="164"/>
      <c r="H98" s="21"/>
    </row>
    <row r="99" spans="1:8" x14ac:dyDescent="0.25">
      <c r="A99" s="173" t="s">
        <v>191</v>
      </c>
      <c r="B99" s="173"/>
      <c r="C99" s="173"/>
      <c r="D99" s="177">
        <v>5707203</v>
      </c>
      <c r="E99" s="177">
        <v>5707203</v>
      </c>
      <c r="G99" s="164"/>
      <c r="H99" s="21"/>
    </row>
    <row r="100" spans="1:8" x14ac:dyDescent="0.25">
      <c r="A100" s="173" t="s">
        <v>149</v>
      </c>
      <c r="B100" s="173"/>
      <c r="C100" s="173"/>
      <c r="D100" s="177">
        <v>3137461.74</v>
      </c>
      <c r="E100" s="177">
        <v>-294010.28999999998</v>
      </c>
      <c r="G100" s="164"/>
      <c r="H100" s="21"/>
    </row>
    <row r="101" spans="1:8" x14ac:dyDescent="0.25">
      <c r="A101" s="173" t="s">
        <v>115</v>
      </c>
      <c r="B101" s="173"/>
      <c r="C101" s="173"/>
      <c r="D101" s="177">
        <v>4108246.71</v>
      </c>
      <c r="E101" s="177">
        <v>3548867</v>
      </c>
      <c r="G101" s="164"/>
      <c r="H101" s="21"/>
    </row>
    <row r="102" spans="1:8" x14ac:dyDescent="0.25">
      <c r="A102" s="173" t="s">
        <v>211</v>
      </c>
      <c r="B102" s="173"/>
      <c r="C102" s="173"/>
      <c r="D102" s="343">
        <v>-3697218</v>
      </c>
      <c r="E102" s="177">
        <v>853390</v>
      </c>
      <c r="G102" s="164"/>
      <c r="H102" s="21"/>
    </row>
    <row r="103" spans="1:8" ht="15.75" thickBot="1" x14ac:dyDescent="0.3">
      <c r="A103" s="172" t="s">
        <v>161</v>
      </c>
      <c r="B103" s="173"/>
      <c r="C103" s="173"/>
      <c r="D103" s="194">
        <f>SUM(D99:D102)</f>
        <v>9255693.4499999993</v>
      </c>
      <c r="E103" s="194">
        <f>SUM(E99:E102)</f>
        <v>9815449.7100000009</v>
      </c>
      <c r="G103" s="165"/>
      <c r="H103" s="21"/>
    </row>
    <row r="104" spans="1:8" ht="15.75" thickTop="1" x14ac:dyDescent="0.25">
      <c r="A104" s="164" t="s">
        <v>148</v>
      </c>
      <c r="B104" s="164"/>
      <c r="C104" s="164"/>
      <c r="D104" s="164"/>
      <c r="E104" s="164"/>
      <c r="F104" s="171"/>
      <c r="G104" s="21"/>
    </row>
    <row r="105" spans="1:8" ht="34.5" customHeight="1" x14ac:dyDescent="0.25">
      <c r="A105" s="389" t="s">
        <v>287</v>
      </c>
      <c r="B105" s="389"/>
      <c r="C105" s="389"/>
      <c r="D105" s="389"/>
      <c r="E105" s="389"/>
      <c r="F105" s="389"/>
      <c r="G105" s="21"/>
      <c r="H105" s="29"/>
    </row>
    <row r="106" spans="1:8" x14ac:dyDescent="0.25">
      <c r="A106" s="26" t="s">
        <v>147</v>
      </c>
      <c r="B106" s="164"/>
      <c r="C106" s="164"/>
      <c r="D106" s="164"/>
      <c r="E106" s="164"/>
      <c r="F106" s="171"/>
      <c r="G106" s="21"/>
      <c r="H106" s="29"/>
    </row>
    <row r="107" spans="1:8" x14ac:dyDescent="0.25">
      <c r="A107" s="164"/>
      <c r="B107" s="164"/>
      <c r="C107" s="164"/>
      <c r="D107" s="164"/>
      <c r="E107" s="164"/>
      <c r="F107" s="171"/>
      <c r="G107" s="21"/>
      <c r="H107" s="254" t="s">
        <v>175</v>
      </c>
    </row>
    <row r="108" spans="1:8" x14ac:dyDescent="0.25">
      <c r="A108" s="26" t="s">
        <v>288</v>
      </c>
      <c r="B108" s="26"/>
      <c r="C108" s="164"/>
      <c r="D108" s="164"/>
      <c r="E108" s="165"/>
      <c r="F108" s="195"/>
      <c r="G108" s="21"/>
    </row>
    <row r="109" spans="1:8" x14ac:dyDescent="0.25">
      <c r="A109" s="26" t="s">
        <v>133</v>
      </c>
      <c r="B109" s="26"/>
      <c r="C109" s="164"/>
      <c r="D109" s="218">
        <v>2023</v>
      </c>
      <c r="E109" s="26">
        <v>2022</v>
      </c>
      <c r="F109" s="195"/>
      <c r="G109" s="21"/>
    </row>
    <row r="110" spans="1:8" x14ac:dyDescent="0.25">
      <c r="A110" s="198" t="s">
        <v>276</v>
      </c>
      <c r="B110" s="278"/>
      <c r="C110" s="279"/>
      <c r="D110" s="198"/>
      <c r="E110" s="198"/>
      <c r="G110" s="164"/>
      <c r="H110" s="21"/>
    </row>
    <row r="111" spans="1:8" x14ac:dyDescent="0.25">
      <c r="A111" s="173" t="s">
        <v>198</v>
      </c>
      <c r="B111" s="201"/>
      <c r="C111" s="201"/>
      <c r="D111" s="344">
        <v>16555002</v>
      </c>
      <c r="E111" s="345">
        <v>30000000</v>
      </c>
      <c r="G111" s="164"/>
      <c r="H111" s="22"/>
    </row>
    <row r="112" spans="1:8" ht="15.75" thickBot="1" x14ac:dyDescent="0.3">
      <c r="A112" s="26" t="s">
        <v>161</v>
      </c>
      <c r="B112" s="26"/>
      <c r="C112" s="173"/>
      <c r="D112" s="169">
        <v>16555002</v>
      </c>
      <c r="E112" s="194">
        <f>SUM(E111:E111)</f>
        <v>30000000</v>
      </c>
      <c r="G112" s="164"/>
      <c r="H112" s="21"/>
    </row>
    <row r="113" spans="1:8" ht="15.75" thickTop="1" x14ac:dyDescent="0.25">
      <c r="A113" s="164" t="s">
        <v>146</v>
      </c>
      <c r="B113" s="164"/>
      <c r="C113" s="173"/>
      <c r="D113" s="176"/>
      <c r="E113" s="164"/>
      <c r="F113" s="164"/>
      <c r="G113" s="23"/>
    </row>
    <row r="114" spans="1:8" x14ac:dyDescent="0.25">
      <c r="A114" s="164"/>
      <c r="B114" s="164"/>
      <c r="C114" s="173"/>
      <c r="D114" s="26"/>
      <c r="E114" s="164"/>
      <c r="F114" s="164"/>
      <c r="G114" s="28"/>
    </row>
    <row r="115" spans="1:8" x14ac:dyDescent="0.25">
      <c r="A115" s="26" t="s">
        <v>289</v>
      </c>
      <c r="B115" s="164"/>
      <c r="C115" s="173"/>
      <c r="D115" s="176"/>
      <c r="E115" s="164"/>
      <c r="F115" s="164"/>
      <c r="G115" s="21"/>
    </row>
    <row r="116" spans="1:8" x14ac:dyDescent="0.25">
      <c r="A116" s="390" t="s">
        <v>232</v>
      </c>
      <c r="B116" s="390"/>
      <c r="C116" s="390"/>
      <c r="D116" s="390"/>
      <c r="E116" s="390"/>
      <c r="F116" s="390"/>
      <c r="G116" s="164"/>
      <c r="H116" s="21"/>
    </row>
    <row r="117" spans="1:8" x14ac:dyDescent="0.25">
      <c r="A117" s="26" t="s">
        <v>133</v>
      </c>
      <c r="B117" s="164"/>
      <c r="C117" s="164"/>
      <c r="D117" s="362">
        <v>2023</v>
      </c>
      <c r="E117" s="363">
        <v>2022</v>
      </c>
      <c r="G117" s="164"/>
      <c r="H117" s="21"/>
    </row>
    <row r="118" spans="1:8" x14ac:dyDescent="0.25">
      <c r="A118" s="164" t="s">
        <v>216</v>
      </c>
      <c r="B118" s="164"/>
      <c r="C118" s="164"/>
      <c r="D118" s="364">
        <v>125000</v>
      </c>
      <c r="E118" s="365">
        <v>104373.68</v>
      </c>
      <c r="G118" s="164"/>
      <c r="H118" s="21"/>
    </row>
    <row r="119" spans="1:8" ht="15.75" thickBot="1" x14ac:dyDescent="0.3">
      <c r="A119" s="26" t="s">
        <v>161</v>
      </c>
      <c r="B119" s="164"/>
      <c r="C119" s="164"/>
      <c r="D119" s="347">
        <f>SUM(D118)</f>
        <v>125000</v>
      </c>
      <c r="E119" s="366">
        <f>SUM(E118)</f>
        <v>104373.68</v>
      </c>
      <c r="F119" s="164"/>
      <c r="G119" s="21"/>
    </row>
    <row r="120" spans="1:8" ht="15.75" thickTop="1" x14ac:dyDescent="0.25">
      <c r="A120" s="26"/>
      <c r="B120" s="164"/>
      <c r="C120" s="164"/>
      <c r="D120" s="346"/>
      <c r="E120" s="204"/>
      <c r="F120" s="164"/>
      <c r="G120" s="21"/>
    </row>
    <row r="121" spans="1:8" x14ac:dyDescent="0.25">
      <c r="A121" s="26" t="s">
        <v>268</v>
      </c>
      <c r="B121" s="164"/>
      <c r="C121" s="164"/>
      <c r="D121" s="164"/>
      <c r="E121" s="164"/>
      <c r="F121" s="165"/>
      <c r="G121" s="21"/>
    </row>
    <row r="122" spans="1:8" x14ac:dyDescent="0.25">
      <c r="A122" s="26"/>
      <c r="B122" s="164"/>
      <c r="C122" s="164"/>
      <c r="D122" s="164"/>
      <c r="E122" s="164"/>
      <c r="F122" s="165"/>
      <c r="G122" s="21"/>
    </row>
    <row r="123" spans="1:8" x14ac:dyDescent="0.25">
      <c r="A123" s="26" t="s">
        <v>290</v>
      </c>
      <c r="B123" s="26"/>
      <c r="C123" s="164"/>
      <c r="D123" s="164"/>
      <c r="E123" s="164"/>
      <c r="F123" s="202"/>
      <c r="G123" s="21"/>
    </row>
    <row r="124" spans="1:8" x14ac:dyDescent="0.25">
      <c r="A124" s="235" t="s">
        <v>239</v>
      </c>
      <c r="B124" s="164"/>
      <c r="C124" s="26"/>
      <c r="D124" s="197"/>
      <c r="E124" s="26"/>
      <c r="G124" s="171"/>
      <c r="H124" s="21"/>
    </row>
    <row r="125" spans="1:8" x14ac:dyDescent="0.25">
      <c r="A125" s="26" t="s">
        <v>133</v>
      </c>
      <c r="B125" s="164"/>
      <c r="C125" s="26"/>
      <c r="D125" s="352">
        <v>2023</v>
      </c>
      <c r="E125" s="352">
        <v>2022</v>
      </c>
      <c r="G125" s="171"/>
      <c r="H125" s="21"/>
    </row>
    <row r="126" spans="1:8" x14ac:dyDescent="0.25">
      <c r="A126" s="164" t="s">
        <v>195</v>
      </c>
      <c r="B126" s="164"/>
      <c r="C126" s="26"/>
      <c r="D126" s="205">
        <v>6106000</v>
      </c>
      <c r="E126" s="199">
        <v>12137000</v>
      </c>
      <c r="G126" s="171"/>
      <c r="H126" s="21"/>
    </row>
    <row r="127" spans="1:8" x14ac:dyDescent="0.25">
      <c r="A127" s="164" t="s">
        <v>196</v>
      </c>
      <c r="B127" s="206"/>
      <c r="C127" s="207"/>
      <c r="D127" s="205">
        <v>1671000</v>
      </c>
      <c r="E127" s="208">
        <f>2760000+502000</f>
        <v>3262000</v>
      </c>
      <c r="G127" s="195"/>
      <c r="H127" s="21"/>
    </row>
    <row r="128" spans="1:8" x14ac:dyDescent="0.25">
      <c r="A128" s="164" t="s">
        <v>192</v>
      </c>
      <c r="B128" s="206"/>
      <c r="C128" s="207"/>
      <c r="D128" s="171">
        <v>84599.42</v>
      </c>
      <c r="E128" s="199">
        <v>165909</v>
      </c>
      <c r="G128" s="195"/>
      <c r="H128" s="21"/>
    </row>
    <row r="129" spans="1:8" x14ac:dyDescent="0.25">
      <c r="A129" s="164" t="s">
        <v>193</v>
      </c>
      <c r="B129" s="206"/>
      <c r="C129" s="207"/>
      <c r="D129" s="171">
        <v>552167</v>
      </c>
      <c r="E129" s="199">
        <v>1093329</v>
      </c>
      <c r="G129" s="195"/>
      <c r="H129" s="21"/>
    </row>
    <row r="130" spans="1:8" x14ac:dyDescent="0.25">
      <c r="A130" s="164" t="s">
        <v>194</v>
      </c>
      <c r="B130" s="164"/>
      <c r="C130" s="207"/>
      <c r="D130" s="171">
        <v>551389.30000000005</v>
      </c>
      <c r="E130" s="199">
        <v>1091789.1399999999</v>
      </c>
      <c r="G130" s="164"/>
      <c r="H130" s="21"/>
    </row>
    <row r="131" spans="1:8" x14ac:dyDescent="0.25">
      <c r="A131" s="164" t="s">
        <v>145</v>
      </c>
      <c r="B131" s="164"/>
      <c r="C131" s="207"/>
      <c r="D131" s="171">
        <v>116924.92</v>
      </c>
      <c r="E131" s="199">
        <v>131220.85</v>
      </c>
      <c r="G131" s="164"/>
      <c r="H131" s="21"/>
    </row>
    <row r="132" spans="1:8" x14ac:dyDescent="0.25">
      <c r="A132" s="164" t="s">
        <v>197</v>
      </c>
      <c r="B132" s="164"/>
      <c r="C132" s="207"/>
      <c r="D132" s="171">
        <v>540200</v>
      </c>
      <c r="E132" s="199">
        <v>1296600</v>
      </c>
      <c r="G132" s="165"/>
      <c r="H132" s="21"/>
    </row>
    <row r="133" spans="1:8" x14ac:dyDescent="0.25">
      <c r="A133" s="164" t="s">
        <v>144</v>
      </c>
      <c r="B133" s="164"/>
      <c r="C133" s="207"/>
      <c r="D133" s="171">
        <v>0</v>
      </c>
      <c r="E133" s="199">
        <v>69220.12</v>
      </c>
      <c r="G133" s="171"/>
      <c r="H133" s="21"/>
    </row>
    <row r="134" spans="1:8" x14ac:dyDescent="0.25">
      <c r="A134" s="164" t="s">
        <v>143</v>
      </c>
      <c r="B134" s="164"/>
      <c r="C134" s="207"/>
      <c r="D134" s="171">
        <v>0</v>
      </c>
      <c r="E134" s="171">
        <v>1367500</v>
      </c>
      <c r="G134" s="171"/>
      <c r="H134" s="21"/>
    </row>
    <row r="135" spans="1:8" ht="15" customHeight="1" thickBot="1" x14ac:dyDescent="0.3">
      <c r="A135" s="164" t="s">
        <v>225</v>
      </c>
      <c r="B135" s="164"/>
      <c r="C135" s="164"/>
      <c r="D135" s="169">
        <f>SUM(D126:D134)</f>
        <v>9622280.6400000006</v>
      </c>
      <c r="E135" s="169">
        <f>SUM(E126:E134)</f>
        <v>20614568.110000003</v>
      </c>
      <c r="G135" s="171"/>
      <c r="H135" s="21"/>
    </row>
    <row r="136" spans="1:8" ht="15" customHeight="1" thickTop="1" x14ac:dyDescent="0.25">
      <c r="A136" s="164"/>
      <c r="B136" s="164"/>
      <c r="C136" s="164"/>
      <c r="D136" s="195"/>
      <c r="E136" s="195"/>
      <c r="G136" s="171"/>
      <c r="H136" s="21"/>
    </row>
    <row r="137" spans="1:8" ht="15" customHeight="1" x14ac:dyDescent="0.25">
      <c r="A137" s="26" t="s">
        <v>291</v>
      </c>
      <c r="B137" s="26"/>
      <c r="C137" s="26"/>
      <c r="D137" s="195"/>
      <c r="E137" s="195"/>
      <c r="G137" s="171"/>
      <c r="H137" s="21"/>
    </row>
    <row r="138" spans="1:8" ht="15" customHeight="1" x14ac:dyDescent="0.25">
      <c r="A138" s="342" t="s">
        <v>214</v>
      </c>
      <c r="B138" s="164"/>
      <c r="C138" s="164"/>
      <c r="D138" s="195"/>
      <c r="E138" s="195"/>
      <c r="G138" s="171"/>
      <c r="H138" s="21"/>
    </row>
    <row r="139" spans="1:8" ht="15" customHeight="1" x14ac:dyDescent="0.25">
      <c r="A139" s="26" t="s">
        <v>133</v>
      </c>
      <c r="B139" s="164"/>
      <c r="C139" s="164"/>
      <c r="D139" s="351">
        <v>2023</v>
      </c>
      <c r="E139" s="351">
        <v>2022</v>
      </c>
      <c r="G139" s="171"/>
      <c r="H139" s="21"/>
    </row>
    <row r="140" spans="1:8" ht="15" customHeight="1" x14ac:dyDescent="0.25">
      <c r="A140" s="164" t="s">
        <v>215</v>
      </c>
      <c r="B140" s="164"/>
      <c r="C140" s="164"/>
      <c r="D140" s="349">
        <v>0</v>
      </c>
      <c r="E140" s="349">
        <v>80000</v>
      </c>
      <c r="G140" s="171"/>
      <c r="H140" s="21"/>
    </row>
    <row r="141" spans="1:8" ht="15" customHeight="1" thickBot="1" x14ac:dyDescent="0.3">
      <c r="A141" s="26" t="s">
        <v>161</v>
      </c>
      <c r="B141" s="164"/>
      <c r="C141" s="164"/>
      <c r="D141" s="348">
        <f>SUM(D140)</f>
        <v>0</v>
      </c>
      <c r="E141" s="348">
        <f>SUM(E140)</f>
        <v>80000</v>
      </c>
      <c r="G141" s="171"/>
      <c r="H141" s="21"/>
    </row>
    <row r="142" spans="1:8" ht="15" customHeight="1" thickTop="1" x14ac:dyDescent="0.25">
      <c r="A142" s="164"/>
      <c r="B142" s="164"/>
      <c r="C142" s="164"/>
      <c r="D142" s="195"/>
      <c r="E142" s="195"/>
      <c r="F142" s="171"/>
      <c r="G142" s="21"/>
    </row>
    <row r="143" spans="1:8" x14ac:dyDescent="0.25">
      <c r="A143" s="26" t="s">
        <v>292</v>
      </c>
      <c r="B143" s="26"/>
      <c r="C143" s="164"/>
      <c r="D143" s="209"/>
      <c r="E143" s="209"/>
      <c r="F143" s="171"/>
      <c r="G143" s="21"/>
    </row>
    <row r="144" spans="1:8" x14ac:dyDescent="0.25">
      <c r="A144" s="235" t="s">
        <v>233</v>
      </c>
      <c r="B144" s="164"/>
      <c r="C144" s="26"/>
      <c r="D144" s="164"/>
      <c r="E144" s="164"/>
      <c r="F144" s="195"/>
      <c r="G144" s="30"/>
    </row>
    <row r="145" spans="1:8" x14ac:dyDescent="0.25">
      <c r="A145" s="26" t="s">
        <v>133</v>
      </c>
      <c r="B145" s="164"/>
      <c r="C145" s="164"/>
      <c r="D145" s="350">
        <v>2023</v>
      </c>
      <c r="E145" s="352">
        <v>2022</v>
      </c>
      <c r="G145" s="164"/>
      <c r="H145" s="21"/>
    </row>
    <row r="146" spans="1:8" x14ac:dyDescent="0.25">
      <c r="A146" s="164" t="s">
        <v>142</v>
      </c>
      <c r="B146" s="164"/>
      <c r="C146" s="164"/>
      <c r="D146" s="210">
        <v>117274</v>
      </c>
      <c r="E146" s="170">
        <v>340996.86</v>
      </c>
      <c r="G146" s="164"/>
      <c r="H146" s="21"/>
    </row>
    <row r="147" spans="1:8" x14ac:dyDescent="0.25">
      <c r="A147" s="164" t="s">
        <v>141</v>
      </c>
      <c r="B147" s="164"/>
      <c r="C147" s="164"/>
      <c r="D147" s="210">
        <v>159300</v>
      </c>
      <c r="E147" s="211">
        <v>561680</v>
      </c>
      <c r="G147" s="164"/>
      <c r="H147" s="21"/>
    </row>
    <row r="148" spans="1:8" x14ac:dyDescent="0.25">
      <c r="A148" s="164" t="s">
        <v>140</v>
      </c>
      <c r="B148" s="164"/>
      <c r="C148" s="164"/>
      <c r="D148" s="210">
        <v>0</v>
      </c>
      <c r="E148" s="211">
        <v>32129.040000000001</v>
      </c>
      <c r="G148" s="164"/>
      <c r="H148" s="21"/>
    </row>
    <row r="149" spans="1:8" s="40" customFormat="1" ht="16.5" customHeight="1" x14ac:dyDescent="0.25">
      <c r="A149" s="391" t="s">
        <v>139</v>
      </c>
      <c r="B149" s="391"/>
      <c r="C149" s="391"/>
      <c r="D149" s="210">
        <v>0</v>
      </c>
      <c r="E149" s="212">
        <v>1062</v>
      </c>
      <c r="G149" s="213"/>
      <c r="H149" s="39"/>
    </row>
    <row r="150" spans="1:8" ht="29.25" customHeight="1" x14ac:dyDescent="0.25">
      <c r="A150" s="392" t="s">
        <v>138</v>
      </c>
      <c r="B150" s="392"/>
      <c r="C150" s="392"/>
      <c r="D150" s="210">
        <v>382000</v>
      </c>
      <c r="E150" s="214">
        <v>715191.68</v>
      </c>
      <c r="G150" s="210"/>
      <c r="H150" s="24"/>
    </row>
    <row r="151" spans="1:8" x14ac:dyDescent="0.25">
      <c r="A151" s="164" t="s">
        <v>137</v>
      </c>
      <c r="B151" s="164"/>
      <c r="C151" s="173"/>
      <c r="D151" s="210">
        <v>77585</v>
      </c>
      <c r="E151" s="214">
        <v>679911.34</v>
      </c>
      <c r="G151" s="210"/>
      <c r="H151" s="24"/>
    </row>
    <row r="152" spans="1:8" ht="20.25" customHeight="1" thickBot="1" x14ac:dyDescent="0.3">
      <c r="A152" s="384" t="s">
        <v>161</v>
      </c>
      <c r="B152" s="384"/>
      <c r="C152" s="384"/>
      <c r="D152" s="216">
        <f>SUM(D146:D151)</f>
        <v>736159</v>
      </c>
      <c r="E152" s="215">
        <f>SUM(E146:E151)</f>
        <v>2330970.92</v>
      </c>
      <c r="G152" s="210"/>
      <c r="H152" s="24"/>
    </row>
    <row r="153" spans="1:8" ht="21.75" customHeight="1" thickTop="1" x14ac:dyDescent="0.25">
      <c r="A153" s="164"/>
      <c r="B153" s="196"/>
      <c r="C153" s="164"/>
      <c r="D153" s="164"/>
      <c r="E153" s="210"/>
      <c r="F153" s="210"/>
      <c r="G153" s="20"/>
    </row>
    <row r="154" spans="1:8" ht="26.25" customHeight="1" x14ac:dyDescent="0.25">
      <c r="A154" s="164"/>
      <c r="B154" s="196"/>
      <c r="C154" s="196"/>
      <c r="D154" s="217"/>
      <c r="E154" s="217"/>
      <c r="F154" s="210"/>
      <c r="G154" s="24"/>
    </row>
    <row r="155" spans="1:8" ht="26.25" customHeight="1" x14ac:dyDescent="0.25">
      <c r="A155" s="164"/>
      <c r="B155" s="196"/>
      <c r="C155" s="196"/>
      <c r="D155" s="217"/>
      <c r="E155" s="217"/>
      <c r="F155" s="210"/>
      <c r="G155" s="24"/>
    </row>
    <row r="156" spans="1:8" ht="26.25" customHeight="1" x14ac:dyDescent="0.25">
      <c r="A156" s="164"/>
      <c r="B156" s="196"/>
      <c r="C156" s="196"/>
      <c r="D156" s="217"/>
      <c r="E156" s="217"/>
      <c r="F156" s="210"/>
      <c r="G156" s="24"/>
    </row>
    <row r="157" spans="1:8" ht="26.25" customHeight="1" x14ac:dyDescent="0.25">
      <c r="A157" s="164"/>
      <c r="B157" s="196"/>
      <c r="C157" s="196"/>
      <c r="D157" s="217"/>
      <c r="E157" s="217"/>
      <c r="F157" s="210"/>
      <c r="G157" s="24"/>
    </row>
    <row r="158" spans="1:8" s="304" customFormat="1" ht="22.5" customHeight="1" x14ac:dyDescent="0.25">
      <c r="A158" s="172" t="s">
        <v>294</v>
      </c>
      <c r="B158" s="172"/>
      <c r="C158" s="173"/>
      <c r="D158" s="305"/>
      <c r="E158" s="305"/>
      <c r="F158" s="212"/>
      <c r="G158" s="252"/>
    </row>
    <row r="159" spans="1:8" ht="15.75" customHeight="1" x14ac:dyDescent="0.25">
      <c r="A159" s="237" t="s">
        <v>234</v>
      </c>
      <c r="B159" s="196"/>
      <c r="C159" s="218"/>
      <c r="D159" s="219"/>
      <c r="E159" s="203"/>
      <c r="F159" s="220"/>
      <c r="G159" s="21"/>
      <c r="H159" s="274"/>
    </row>
    <row r="160" spans="1:8" ht="17.25" customHeight="1" x14ac:dyDescent="0.25">
      <c r="A160" s="218" t="s">
        <v>293</v>
      </c>
      <c r="B160" s="196"/>
      <c r="C160" s="196"/>
      <c r="D160" s="360">
        <v>2023</v>
      </c>
      <c r="E160" s="361">
        <v>2022</v>
      </c>
      <c r="G160" s="164"/>
      <c r="H160" s="21"/>
    </row>
    <row r="161" spans="1:9" x14ac:dyDescent="0.25">
      <c r="A161" s="196" t="s">
        <v>136</v>
      </c>
      <c r="B161" s="196"/>
      <c r="C161" s="196"/>
      <c r="D161" s="212">
        <v>-5400</v>
      </c>
      <c r="E161" s="210">
        <v>-97200</v>
      </c>
      <c r="G161" s="210"/>
      <c r="H161" s="21"/>
    </row>
    <row r="162" spans="1:9" x14ac:dyDescent="0.25">
      <c r="A162" s="196" t="s">
        <v>135</v>
      </c>
      <c r="B162" s="196"/>
      <c r="C162" s="196"/>
      <c r="D162" s="212">
        <v>-63338.44</v>
      </c>
      <c r="E162" s="210">
        <v>-1709602.2</v>
      </c>
      <c r="G162" s="251"/>
      <c r="H162" s="21"/>
    </row>
    <row r="163" spans="1:9" x14ac:dyDescent="0.25">
      <c r="A163" s="196" t="s">
        <v>134</v>
      </c>
      <c r="B163" s="218"/>
      <c r="C163" s="196"/>
      <c r="D163" s="212">
        <v>-54374.28</v>
      </c>
      <c r="E163" s="221">
        <v>-652491.25</v>
      </c>
      <c r="G163" s="210"/>
      <c r="H163" s="24"/>
      <c r="I163" s="25"/>
    </row>
    <row r="164" spans="1:9" ht="15.75" thickBot="1" x14ac:dyDescent="0.3">
      <c r="A164" s="218" t="s">
        <v>161</v>
      </c>
      <c r="B164" s="26"/>
      <c r="C164" s="164"/>
      <c r="D164" s="353">
        <f>SUM(D161:D163)</f>
        <v>-123112.72</v>
      </c>
      <c r="E164" s="354">
        <f>SUM(E161:E163)</f>
        <v>-2459293.4500000002</v>
      </c>
      <c r="G164" s="210"/>
      <c r="H164" s="24"/>
    </row>
    <row r="165" spans="1:9" ht="15.75" thickTop="1" x14ac:dyDescent="0.25">
      <c r="A165" s="26"/>
      <c r="B165" s="164"/>
      <c r="C165" s="164"/>
      <c r="D165" s="222"/>
      <c r="E165" s="222"/>
      <c r="F165" s="210"/>
      <c r="G165" s="24"/>
      <c r="I165" s="25"/>
    </row>
    <row r="166" spans="1:9" x14ac:dyDescent="0.25">
      <c r="A166" s="26" t="s">
        <v>218</v>
      </c>
      <c r="B166" s="164"/>
      <c r="C166" s="164"/>
      <c r="D166" s="222"/>
      <c r="E166" s="222"/>
      <c r="F166" s="210"/>
      <c r="G166" s="24"/>
    </row>
    <row r="167" spans="1:9" x14ac:dyDescent="0.25">
      <c r="A167" s="164" t="s">
        <v>217</v>
      </c>
      <c r="B167" s="164"/>
      <c r="C167" s="164"/>
      <c r="D167" s="164"/>
      <c r="E167" s="192"/>
      <c r="F167" s="210"/>
      <c r="G167" s="21"/>
    </row>
    <row r="168" spans="1:9" x14ac:dyDescent="0.25">
      <c r="A168" s="164"/>
      <c r="B168" s="164"/>
      <c r="C168" s="164"/>
      <c r="D168" s="164"/>
      <c r="E168" s="192"/>
      <c r="F168" s="210"/>
      <c r="G168" s="21"/>
    </row>
    <row r="169" spans="1:9" x14ac:dyDescent="0.25">
      <c r="A169" s="26" t="s">
        <v>295</v>
      </c>
      <c r="B169" s="26"/>
      <c r="C169" s="164"/>
      <c r="D169" s="164"/>
      <c r="E169" s="164"/>
      <c r="F169" s="164"/>
      <c r="G169" s="21"/>
    </row>
    <row r="170" spans="1:9" x14ac:dyDescent="0.25">
      <c r="A170" s="235" t="s">
        <v>235</v>
      </c>
      <c r="B170" s="164"/>
      <c r="C170" s="26"/>
      <c r="D170" s="164"/>
      <c r="E170" s="164"/>
      <c r="F170" s="164"/>
      <c r="G170" s="252"/>
    </row>
    <row r="171" spans="1:9" x14ac:dyDescent="0.25">
      <c r="A171" s="26" t="s">
        <v>133</v>
      </c>
      <c r="B171" s="164"/>
      <c r="C171" s="164"/>
      <c r="D171" s="359">
        <v>2023</v>
      </c>
      <c r="E171" s="352">
        <v>2022</v>
      </c>
      <c r="G171" s="164"/>
      <c r="H171" s="21"/>
    </row>
    <row r="172" spans="1:9" x14ac:dyDescent="0.25">
      <c r="A172" s="164" t="s">
        <v>132</v>
      </c>
      <c r="B172" s="164"/>
      <c r="C172" s="164"/>
      <c r="D172" s="223">
        <v>461425.95</v>
      </c>
      <c r="E172" s="171">
        <v>1476696.68</v>
      </c>
      <c r="G172" s="164"/>
      <c r="H172" s="21"/>
    </row>
    <row r="173" spans="1:9" x14ac:dyDescent="0.25">
      <c r="A173" s="164" t="s">
        <v>131</v>
      </c>
      <c r="B173" s="164"/>
      <c r="C173" s="164"/>
      <c r="D173" s="223">
        <v>1029046.09</v>
      </c>
      <c r="E173" s="171">
        <v>1536173</v>
      </c>
      <c r="G173" s="164"/>
      <c r="H173" s="21"/>
    </row>
    <row r="174" spans="1:9" x14ac:dyDescent="0.25">
      <c r="A174" s="164" t="s">
        <v>130</v>
      </c>
      <c r="B174" s="164"/>
      <c r="C174" s="164"/>
      <c r="D174" s="223">
        <v>350962.5</v>
      </c>
      <c r="E174" s="171">
        <v>412737.5</v>
      </c>
      <c r="G174" s="164"/>
      <c r="H174" s="21"/>
    </row>
    <row r="175" spans="1:9" x14ac:dyDescent="0.25">
      <c r="A175" s="164" t="s">
        <v>129</v>
      </c>
      <c r="B175" s="164"/>
      <c r="C175" s="164"/>
      <c r="D175" s="224">
        <v>26123.62</v>
      </c>
      <c r="E175" s="171">
        <v>390839.28</v>
      </c>
      <c r="G175" s="165"/>
      <c r="H175" s="21"/>
    </row>
    <row r="176" spans="1:9" x14ac:dyDescent="0.25">
      <c r="A176" s="164" t="s">
        <v>128</v>
      </c>
      <c r="B176" s="164"/>
      <c r="C176" s="164"/>
      <c r="D176" s="238">
        <v>34912</v>
      </c>
      <c r="E176" s="171">
        <v>156620</v>
      </c>
      <c r="G176" s="171"/>
      <c r="H176" s="34"/>
    </row>
    <row r="177" spans="1:8" ht="0.75" customHeight="1" x14ac:dyDescent="0.25">
      <c r="A177" s="164"/>
      <c r="B177" s="164"/>
      <c r="C177" s="164"/>
      <c r="D177" s="195">
        <v>286735.96000000002</v>
      </c>
      <c r="E177" s="225"/>
      <c r="G177" s="171"/>
      <c r="H177" s="21"/>
    </row>
    <row r="178" spans="1:8" x14ac:dyDescent="0.25">
      <c r="A178" s="164" t="s">
        <v>200</v>
      </c>
      <c r="B178" s="164"/>
      <c r="C178" s="164"/>
      <c r="D178" s="238">
        <v>286735.96000000002</v>
      </c>
      <c r="E178" s="177">
        <v>127970</v>
      </c>
      <c r="G178" s="177"/>
      <c r="H178" s="20"/>
    </row>
    <row r="179" spans="1:8" x14ac:dyDescent="0.25">
      <c r="A179" s="164" t="s">
        <v>202</v>
      </c>
      <c r="B179" s="173"/>
      <c r="C179" s="173"/>
      <c r="D179" s="171">
        <v>678894</v>
      </c>
      <c r="E179" s="171">
        <v>799293.12</v>
      </c>
      <c r="G179" s="171"/>
      <c r="H179" s="22"/>
    </row>
    <row r="180" spans="1:8" x14ac:dyDescent="0.25">
      <c r="A180" s="235" t="s">
        <v>238</v>
      </c>
      <c r="B180" s="173"/>
      <c r="C180" s="173"/>
      <c r="D180" s="171">
        <v>152319.32999999999</v>
      </c>
      <c r="E180" s="171">
        <f>-E181</f>
        <v>34912</v>
      </c>
      <c r="G180" s="171"/>
      <c r="H180" s="22"/>
    </row>
    <row r="181" spans="1:8" x14ac:dyDescent="0.25">
      <c r="A181" s="235" t="s">
        <v>237</v>
      </c>
      <c r="B181" s="173"/>
      <c r="C181" s="173"/>
      <c r="D181" s="200">
        <v>40568</v>
      </c>
      <c r="E181" s="171">
        <f>-D176</f>
        <v>-34912</v>
      </c>
      <c r="G181" s="171"/>
      <c r="H181" s="22"/>
    </row>
    <row r="182" spans="1:8" x14ac:dyDescent="0.25">
      <c r="A182" s="173"/>
      <c r="B182" s="173"/>
      <c r="C182" s="173"/>
      <c r="D182" s="355">
        <f>+D172+D173+D174+D175+D176+D178+D179+D180+D181</f>
        <v>3060987.45</v>
      </c>
      <c r="E182" s="356">
        <f>SUM(E172:E179)</f>
        <v>4900329.58</v>
      </c>
      <c r="G182" s="163"/>
      <c r="H182" s="20"/>
    </row>
    <row r="183" spans="1:8" x14ac:dyDescent="0.25">
      <c r="A183" s="164" t="s">
        <v>201</v>
      </c>
      <c r="B183" s="164"/>
      <c r="C183" s="164"/>
      <c r="D183" s="226">
        <v>9912</v>
      </c>
      <c r="E183" s="226">
        <v>13221.75</v>
      </c>
      <c r="G183" s="164"/>
      <c r="H183" s="235"/>
    </row>
    <row r="184" spans="1:8" ht="15.75" thickBot="1" x14ac:dyDescent="0.3">
      <c r="A184" s="26" t="s">
        <v>161</v>
      </c>
      <c r="B184" s="164"/>
      <c r="C184" s="164"/>
      <c r="D184" s="357">
        <f>+D182+D183</f>
        <v>3070899.45</v>
      </c>
      <c r="E184" s="358">
        <f>+E182+E183</f>
        <v>4913551.33</v>
      </c>
      <c r="G184" s="164"/>
    </row>
    <row r="185" spans="1:8" ht="15.75" thickTop="1" x14ac:dyDescent="0.25">
      <c r="A185" s="26"/>
      <c r="B185" s="164"/>
      <c r="C185" s="164"/>
      <c r="D185" s="164"/>
      <c r="E185" s="227"/>
      <c r="F185" s="164"/>
    </row>
    <row r="188" spans="1:8" x14ac:dyDescent="0.25">
      <c r="F188" s="18"/>
    </row>
  </sheetData>
  <mergeCells count="7">
    <mergeCell ref="A152:C152"/>
    <mergeCell ref="A46:G46"/>
    <mergeCell ref="A30:G30"/>
    <mergeCell ref="A105:F105"/>
    <mergeCell ref="A116:F116"/>
    <mergeCell ref="A149:C149"/>
    <mergeCell ref="A150:C150"/>
  </mergeCells>
  <pageMargins left="0.39370078740157483" right="0.39370078740157483" top="0.59055118110236227" bottom="0.59055118110236227" header="0.31496062992125984" footer="0.31496062992125984"/>
  <pageSetup scale="72" orientation="portrait" r:id="rId1"/>
  <rowBreaks count="2" manualBreakCount="2">
    <brk id="54" min="1" max="8" man="1"/>
    <brk id="93" min="1" max="8" man="1"/>
  </rowBreaks>
  <colBreaks count="1" manualBreakCount="1">
    <brk id="8" min="3" max="2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workbookViewId="0">
      <selection activeCell="F20" sqref="F20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15.140625" customWidth="1"/>
    <col min="4" max="4" width="15.42578125" customWidth="1"/>
    <col min="5" max="6" width="21.140625" customWidth="1"/>
    <col min="7" max="7" width="21.140625" style="255" customWidth="1"/>
    <col min="8" max="8" width="19.140625" customWidth="1"/>
  </cols>
  <sheetData>
    <row r="1" spans="1:8" s="255" customFormat="1" x14ac:dyDescent="0.25"/>
    <row r="2" spans="1:8" s="255" customFormat="1" x14ac:dyDescent="0.25"/>
    <row r="3" spans="1:8" x14ac:dyDescent="0.25">
      <c r="A3" s="26" t="s">
        <v>167</v>
      </c>
      <c r="B3" s="164"/>
      <c r="C3" s="164"/>
      <c r="D3" s="164"/>
      <c r="E3" s="164"/>
      <c r="F3" s="164"/>
      <c r="G3" s="164"/>
      <c r="H3" s="164"/>
    </row>
    <row r="4" spans="1:8" x14ac:dyDescent="0.25">
      <c r="A4" s="386" t="s">
        <v>167</v>
      </c>
      <c r="B4" s="387"/>
      <c r="C4" s="387"/>
      <c r="D4" s="387"/>
      <c r="E4" s="387"/>
      <c r="F4" s="387"/>
      <c r="G4" s="387"/>
      <c r="H4" s="388"/>
    </row>
    <row r="5" spans="1:8" ht="30" x14ac:dyDescent="0.25">
      <c r="A5" s="179"/>
      <c r="B5" s="180" t="s">
        <v>166</v>
      </c>
      <c r="C5" s="181" t="s">
        <v>165</v>
      </c>
      <c r="D5" s="180" t="s">
        <v>164</v>
      </c>
      <c r="E5" s="181" t="s">
        <v>163</v>
      </c>
      <c r="F5" s="181" t="s">
        <v>162</v>
      </c>
      <c r="G5" s="181" t="s">
        <v>270</v>
      </c>
      <c r="H5" s="180" t="s">
        <v>161</v>
      </c>
    </row>
    <row r="6" spans="1:8" x14ac:dyDescent="0.25">
      <c r="A6" s="182" t="s">
        <v>273</v>
      </c>
      <c r="B6" s="27"/>
      <c r="C6" s="27"/>
      <c r="D6" s="183">
        <v>648000.39</v>
      </c>
      <c r="E6" s="183">
        <v>7600613.5199999996</v>
      </c>
      <c r="F6" s="183">
        <v>2609965.54</v>
      </c>
      <c r="G6" s="183"/>
      <c r="H6" s="184">
        <f>SUM(D6:G6)</f>
        <v>10858579.449999999</v>
      </c>
    </row>
    <row r="7" spans="1:8" x14ac:dyDescent="0.25">
      <c r="A7" s="185" t="s">
        <v>160</v>
      </c>
      <c r="B7" s="185"/>
      <c r="C7" s="185"/>
      <c r="D7" s="186"/>
      <c r="E7" s="186"/>
      <c r="F7" s="186"/>
      <c r="G7" s="186">
        <v>1121000</v>
      </c>
      <c r="H7" s="187">
        <v>1121000</v>
      </c>
    </row>
    <row r="8" spans="1:8" x14ac:dyDescent="0.25">
      <c r="A8" s="179" t="s">
        <v>159</v>
      </c>
      <c r="B8" s="179"/>
      <c r="C8" s="179"/>
      <c r="D8" s="188"/>
      <c r="E8" s="188"/>
      <c r="F8" s="188"/>
      <c r="G8" s="188"/>
      <c r="H8" s="184"/>
    </row>
    <row r="9" spans="1:8" x14ac:dyDescent="0.25">
      <c r="A9" s="256" t="s">
        <v>269</v>
      </c>
      <c r="B9" s="179"/>
      <c r="C9" s="179"/>
      <c r="D9" s="188"/>
      <c r="E9" s="188"/>
      <c r="F9" s="188"/>
      <c r="G9" s="188"/>
      <c r="H9" s="184">
        <f>SUM(D9:F9)</f>
        <v>0</v>
      </c>
    </row>
    <row r="10" spans="1:8" x14ac:dyDescent="0.25">
      <c r="A10" s="179" t="s">
        <v>157</v>
      </c>
      <c r="B10" s="179"/>
      <c r="C10" s="179"/>
      <c r="D10" s="188"/>
      <c r="E10" s="188"/>
      <c r="F10" s="188"/>
      <c r="G10" s="188"/>
      <c r="H10" s="184">
        <f>SUM(D10:F10)</f>
        <v>0</v>
      </c>
    </row>
    <row r="11" spans="1:8" x14ac:dyDescent="0.25">
      <c r="A11" s="179" t="s">
        <v>65</v>
      </c>
      <c r="B11" s="179"/>
      <c r="C11" s="179"/>
      <c r="D11" s="188"/>
      <c r="E11" s="188"/>
      <c r="F11" s="188"/>
      <c r="G11" s="188"/>
      <c r="H11" s="184">
        <f>SUM(D11:F11)</f>
        <v>0</v>
      </c>
    </row>
    <row r="12" spans="1:8" x14ac:dyDescent="0.25">
      <c r="A12" s="27" t="s">
        <v>272</v>
      </c>
      <c r="B12" s="184">
        <f>SUM(B6:B11)</f>
        <v>0</v>
      </c>
      <c r="C12" s="184">
        <f>SUM(C6:C11)</f>
        <v>0</v>
      </c>
      <c r="D12" s="184">
        <v>648000.39</v>
      </c>
      <c r="E12" s="184">
        <f>E6+E7</f>
        <v>7600613.5199999996</v>
      </c>
      <c r="F12" s="184">
        <v>2609650</v>
      </c>
      <c r="G12" s="184">
        <f>SUM(G6:G11)</f>
        <v>1121000</v>
      </c>
      <c r="H12" s="184">
        <f>SUM(H6:H7)</f>
        <v>11979579.449999999</v>
      </c>
    </row>
    <row r="13" spans="1:8" ht="42.75" customHeight="1" x14ac:dyDescent="0.25">
      <c r="A13" s="182" t="s">
        <v>271</v>
      </c>
      <c r="B13" s="179"/>
      <c r="C13" s="179"/>
      <c r="D13" s="191">
        <v>-151248.26999999999</v>
      </c>
      <c r="E13" s="191">
        <v>-2401420.06</v>
      </c>
      <c r="F13" s="191">
        <v>-987590.52</v>
      </c>
      <c r="G13" s="191"/>
      <c r="H13" s="191">
        <f>SUM(D13:F13)</f>
        <v>-3540258.85</v>
      </c>
    </row>
    <row r="14" spans="1:8" ht="24.75" customHeight="1" x14ac:dyDescent="0.25">
      <c r="A14" s="182" t="s">
        <v>156</v>
      </c>
      <c r="B14" s="27"/>
      <c r="C14" s="27"/>
      <c r="D14" s="189">
        <f>+D12*0.15</f>
        <v>97200.058499999999</v>
      </c>
      <c r="E14" s="187">
        <v>1709602.2</v>
      </c>
      <c r="F14" s="187">
        <f>+F6*0.25</f>
        <v>652491.38500000001</v>
      </c>
      <c r="G14" s="187"/>
      <c r="H14" s="187">
        <f>SUM(D14:F14)</f>
        <v>2459293.6435000002</v>
      </c>
    </row>
    <row r="15" spans="1:8" x14ac:dyDescent="0.25">
      <c r="A15" s="256" t="s">
        <v>155</v>
      </c>
      <c r="B15" s="179"/>
      <c r="C15" s="179"/>
      <c r="D15" s="188"/>
      <c r="E15" s="188"/>
      <c r="F15" s="188"/>
      <c r="G15" s="188"/>
      <c r="H15" s="184">
        <f>SUM(D15:F15)</f>
        <v>0</v>
      </c>
    </row>
    <row r="16" spans="1:8" ht="30" x14ac:dyDescent="0.25">
      <c r="A16" s="190" t="s">
        <v>189</v>
      </c>
      <c r="B16" s="191">
        <f>SUM(B13+B14+B15)</f>
        <v>0</v>
      </c>
      <c r="C16" s="191">
        <f>SUM(C13+C14+C15)</f>
        <v>0</v>
      </c>
      <c r="D16" s="191">
        <f>+D13+D14</f>
        <v>-54048.21149999999</v>
      </c>
      <c r="E16" s="191">
        <f t="shared" ref="E16" si="0">+E13+E14</f>
        <v>-691817.8600000001</v>
      </c>
      <c r="F16" s="191">
        <f>H19+F13+F14</f>
        <v>-335099.13500000001</v>
      </c>
      <c r="G16" s="191"/>
      <c r="H16" s="191">
        <f>+D16+E16+F16</f>
        <v>-1080965.2065000001</v>
      </c>
    </row>
    <row r="17" spans="1:8" ht="30" x14ac:dyDescent="0.25">
      <c r="A17" s="182" t="s">
        <v>154</v>
      </c>
      <c r="B17" s="184">
        <f t="shared" ref="B17:C17" si="1">SUM(B12-B16)</f>
        <v>0</v>
      </c>
      <c r="C17" s="184">
        <f t="shared" si="1"/>
        <v>0</v>
      </c>
      <c r="D17" s="184">
        <v>799248.66</v>
      </c>
      <c r="E17" s="184">
        <v>10002033.58</v>
      </c>
      <c r="F17" s="184">
        <v>1622059.48</v>
      </c>
      <c r="G17" s="184"/>
      <c r="H17" s="184">
        <v>7318320</v>
      </c>
    </row>
    <row r="19" spans="1:8" x14ac:dyDescent="0.25">
      <c r="D19" s="295"/>
    </row>
    <row r="21" spans="1:8" x14ac:dyDescent="0.25">
      <c r="E21" s="295">
        <f>+D14+D16</f>
        <v>43151.847000000009</v>
      </c>
    </row>
    <row r="22" spans="1:8" x14ac:dyDescent="0.25">
      <c r="C22">
        <f>97200+54048</f>
        <v>151248</v>
      </c>
      <c r="E22" s="295">
        <f>43151+D16</f>
        <v>-10897.21149999999</v>
      </c>
    </row>
    <row r="24" spans="1:8" x14ac:dyDescent="0.25">
      <c r="C24">
        <f>648000.39*0.15</f>
        <v>97200.058499999999</v>
      </c>
    </row>
  </sheetData>
  <mergeCells count="1">
    <mergeCell ref="A4:H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Hoja1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2023-07-28T14:59:27Z</cp:lastPrinted>
  <dcterms:created xsi:type="dcterms:W3CDTF">2022-02-04T21:02:45Z</dcterms:created>
  <dcterms:modified xsi:type="dcterms:W3CDTF">2023-07-28T19:06:15Z</dcterms:modified>
</cp:coreProperties>
</file>